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Datos\Planes de Desarrollo Regional_PDR\mejillón\CENTER\DN250\"/>
    </mc:Choice>
  </mc:AlternateContent>
  <bookViews>
    <workbookView xWindow="0" yWindow="0" windowWidth="28800" windowHeight="10500"/>
  </bookViews>
  <sheets>
    <sheet name="DN250 PN10-Oct2023" sheetId="34" r:id="rId1"/>
    <sheet name="Graf Hf-RugAbs DN250" sheetId="35" r:id="rId2"/>
    <sheet name="Graf Vel-RugAbs DN250_C II" sheetId="5" r:id="rId3"/>
    <sheet name="DN250 PN10_Center II-Erróneos" sheetId="2" r:id="rId4"/>
    <sheet name="Teoría" sheetId="1" r:id="rId5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A10" i="34" l="1"/>
  <c r="BA11" i="34"/>
  <c r="BA12" i="34"/>
  <c r="BA13" i="34"/>
  <c r="BA14" i="34"/>
  <c r="BA15" i="34"/>
  <c r="BA16" i="34"/>
  <c r="BA17" i="34"/>
  <c r="BA9" i="34"/>
  <c r="AT16" i="34"/>
  <c r="AX14" i="34" s="1"/>
  <c r="AT14" i="34"/>
  <c r="AT15" i="34" s="1"/>
  <c r="AU11" i="34"/>
  <c r="AT9" i="34"/>
  <c r="AX13" i="34" l="1"/>
  <c r="AX9" i="34"/>
  <c r="AX10" i="34"/>
  <c r="AX17" i="34"/>
  <c r="AX15" i="34"/>
  <c r="AX11" i="34"/>
  <c r="AX16" i="34"/>
  <c r="AX12" i="34"/>
  <c r="O65" i="1" l="1"/>
  <c r="P52" i="34"/>
  <c r="U52" i="34" s="1"/>
  <c r="W52" i="34" s="1"/>
  <c r="X52" i="34" s="1"/>
  <c r="Y52" i="34" s="1"/>
  <c r="Z52" i="34" s="1"/>
  <c r="AA52" i="34" s="1"/>
  <c r="D52" i="34"/>
  <c r="A52" i="34"/>
  <c r="P51" i="34"/>
  <c r="U51" i="34" s="1"/>
  <c r="V51" i="34" s="1"/>
  <c r="A51" i="34"/>
  <c r="P50" i="34"/>
  <c r="U50" i="34" s="1"/>
  <c r="V50" i="34" s="1"/>
  <c r="A50" i="34"/>
  <c r="AD49" i="34"/>
  <c r="AI49" i="34" s="1"/>
  <c r="AK49" i="34" s="1"/>
  <c r="AL49" i="34" s="1"/>
  <c r="AM49" i="34" s="1"/>
  <c r="AN49" i="34" s="1"/>
  <c r="AO49" i="34" s="1"/>
  <c r="P49" i="34"/>
  <c r="G49" i="34"/>
  <c r="A49" i="34"/>
  <c r="F49" i="34" s="1"/>
  <c r="I49" i="34" s="1"/>
  <c r="J49" i="34" s="1"/>
  <c r="K49" i="34" s="1"/>
  <c r="L49" i="34" s="1"/>
  <c r="M49" i="34" s="1"/>
  <c r="AG48" i="34"/>
  <c r="AD48" i="34"/>
  <c r="P48" i="34"/>
  <c r="U48" i="34" s="1"/>
  <c r="W48" i="34" s="1"/>
  <c r="X48" i="34" s="1"/>
  <c r="Y48" i="34" s="1"/>
  <c r="Z48" i="34" s="1"/>
  <c r="AA48" i="34" s="1"/>
  <c r="A48" i="34"/>
  <c r="AD47" i="34"/>
  <c r="AI47" i="34" s="1"/>
  <c r="AK47" i="34" s="1"/>
  <c r="AL47" i="34" s="1"/>
  <c r="AM47" i="34" s="1"/>
  <c r="AN47" i="34" s="1"/>
  <c r="AO47" i="34" s="1"/>
  <c r="P47" i="34"/>
  <c r="I47" i="34"/>
  <c r="J47" i="34" s="1"/>
  <c r="K47" i="34" s="1"/>
  <c r="L47" i="34" s="1"/>
  <c r="M47" i="34" s="1"/>
  <c r="A47" i="34"/>
  <c r="F47" i="34" s="1"/>
  <c r="G47" i="34" s="1"/>
  <c r="AD46" i="34"/>
  <c r="AG46" i="34" s="1"/>
  <c r="V46" i="34"/>
  <c r="P46" i="34"/>
  <c r="U46" i="34" s="1"/>
  <c r="W46" i="34" s="1"/>
  <c r="X46" i="34" s="1"/>
  <c r="Y46" i="34" s="1"/>
  <c r="Z46" i="34" s="1"/>
  <c r="AA46" i="34" s="1"/>
  <c r="D46" i="34"/>
  <c r="A46" i="34"/>
  <c r="AK45" i="34"/>
  <c r="AL45" i="34" s="1"/>
  <c r="AM45" i="34" s="1"/>
  <c r="AN45" i="34" s="1"/>
  <c r="AO45" i="34" s="1"/>
  <c r="AJ45" i="34"/>
  <c r="AD45" i="34"/>
  <c r="AI45" i="34" s="1"/>
  <c r="P45" i="34"/>
  <c r="T45" i="34" s="1"/>
  <c r="A45" i="34"/>
  <c r="F45" i="34" s="1"/>
  <c r="I45" i="34" s="1"/>
  <c r="J45" i="34" s="1"/>
  <c r="K45" i="34" s="1"/>
  <c r="L45" i="34" s="1"/>
  <c r="M45" i="34" s="1"/>
  <c r="AG44" i="34"/>
  <c r="AD44" i="34"/>
  <c r="AH44" i="34" s="1"/>
  <c r="V44" i="34"/>
  <c r="P44" i="34"/>
  <c r="U44" i="34" s="1"/>
  <c r="W44" i="34" s="1"/>
  <c r="X44" i="34" s="1"/>
  <c r="Y44" i="34" s="1"/>
  <c r="Z44" i="34" s="1"/>
  <c r="AA44" i="34" s="1"/>
  <c r="A44" i="34"/>
  <c r="E44" i="34" s="1"/>
  <c r="AD43" i="34"/>
  <c r="AI43" i="34" s="1"/>
  <c r="AJ43" i="34" s="1"/>
  <c r="S43" i="34"/>
  <c r="P43" i="34"/>
  <c r="T43" i="34" s="1"/>
  <c r="A43" i="34"/>
  <c r="F43" i="34" s="1"/>
  <c r="I43" i="34" s="1"/>
  <c r="J43" i="34" s="1"/>
  <c r="K43" i="34" s="1"/>
  <c r="L43" i="34" s="1"/>
  <c r="M43" i="34" s="1"/>
  <c r="A37" i="34"/>
  <c r="F37" i="34" s="1"/>
  <c r="I37" i="34" s="1"/>
  <c r="J37" i="34" s="1"/>
  <c r="K37" i="34" s="1"/>
  <c r="L37" i="34" s="1"/>
  <c r="M37" i="34" s="1"/>
  <c r="U36" i="34"/>
  <c r="P36" i="34"/>
  <c r="T36" i="34" s="1"/>
  <c r="J36" i="34"/>
  <c r="K36" i="34" s="1"/>
  <c r="L36" i="34" s="1"/>
  <c r="M36" i="34" s="1"/>
  <c r="N36" i="34" s="1"/>
  <c r="O36" i="34" s="1"/>
  <c r="F36" i="34"/>
  <c r="I36" i="34" s="1"/>
  <c r="A36" i="34"/>
  <c r="E36" i="34" s="1"/>
  <c r="AD35" i="34"/>
  <c r="U35" i="34"/>
  <c r="W35" i="34" s="1"/>
  <c r="X35" i="34" s="1"/>
  <c r="Y35" i="34" s="1"/>
  <c r="Z35" i="34" s="1"/>
  <c r="AA35" i="34" s="1"/>
  <c r="AB35" i="34" s="1"/>
  <c r="AC35" i="34" s="1"/>
  <c r="P35" i="34"/>
  <c r="T35" i="34" s="1"/>
  <c r="D35" i="34"/>
  <c r="A35" i="34"/>
  <c r="F35" i="34" s="1"/>
  <c r="AD34" i="34"/>
  <c r="AG34" i="34" s="1"/>
  <c r="P34" i="34"/>
  <c r="F34" i="34"/>
  <c r="I34" i="34" s="1"/>
  <c r="J34" i="34" s="1"/>
  <c r="K34" i="34" s="1"/>
  <c r="L34" i="34" s="1"/>
  <c r="M34" i="34" s="1"/>
  <c r="N34" i="34" s="1"/>
  <c r="O34" i="34" s="1"/>
  <c r="E34" i="34"/>
  <c r="D34" i="34"/>
  <c r="A34" i="34"/>
  <c r="AD33" i="34"/>
  <c r="AG33" i="34" s="1"/>
  <c r="P33" i="34"/>
  <c r="U33" i="34" s="1"/>
  <c r="V33" i="34" s="1"/>
  <c r="A33" i="34"/>
  <c r="AD32" i="34"/>
  <c r="AH32" i="34" s="1"/>
  <c r="W32" i="34"/>
  <c r="X32" i="34" s="1"/>
  <c r="Y32" i="34" s="1"/>
  <c r="Z32" i="34" s="1"/>
  <c r="AA32" i="34" s="1"/>
  <c r="V32" i="34"/>
  <c r="P32" i="34"/>
  <c r="U32" i="34" s="1"/>
  <c r="A32" i="34"/>
  <c r="D32" i="34" s="1"/>
  <c r="AJ31" i="34"/>
  <c r="AI31" i="34"/>
  <c r="AK31" i="34" s="1"/>
  <c r="AL31" i="34" s="1"/>
  <c r="AM31" i="34" s="1"/>
  <c r="AN31" i="34" s="1"/>
  <c r="AO31" i="34" s="1"/>
  <c r="AP31" i="34" s="1"/>
  <c r="AQ31" i="34" s="1"/>
  <c r="AD31" i="34"/>
  <c r="AH31" i="34" s="1"/>
  <c r="U31" i="34"/>
  <c r="P31" i="34"/>
  <c r="T31" i="34" s="1"/>
  <c r="F31" i="34"/>
  <c r="G31" i="34" s="1"/>
  <c r="E31" i="34"/>
  <c r="A31" i="34"/>
  <c r="D31" i="34" s="1"/>
  <c r="AH30" i="34"/>
  <c r="AD30" i="34"/>
  <c r="AI30" i="34" s="1"/>
  <c r="P30" i="34"/>
  <c r="U30" i="34" s="1"/>
  <c r="V30" i="34" s="1"/>
  <c r="A30" i="34"/>
  <c r="D30" i="34" s="1"/>
  <c r="AD29" i="34"/>
  <c r="AI29" i="34" s="1"/>
  <c r="P29" i="34"/>
  <c r="A29" i="34"/>
  <c r="F29" i="34" s="1"/>
  <c r="AD28" i="34"/>
  <c r="P28" i="34"/>
  <c r="U28" i="34" s="1"/>
  <c r="F28" i="34"/>
  <c r="G28" i="34" s="1"/>
  <c r="A28" i="34"/>
  <c r="E28" i="34" s="1"/>
  <c r="O23" i="34"/>
  <c r="O24" i="34" s="1"/>
  <c r="G23" i="34"/>
  <c r="G24" i="34" s="1"/>
  <c r="AD22" i="34"/>
  <c r="P22" i="34"/>
  <c r="U22" i="34" s="1"/>
  <c r="AD21" i="34"/>
  <c r="AI21" i="34" s="1"/>
  <c r="U21" i="34"/>
  <c r="W21" i="34" s="1"/>
  <c r="X21" i="34" s="1"/>
  <c r="Y21" i="34" s="1"/>
  <c r="Z21" i="34" s="1"/>
  <c r="AA21" i="34" s="1"/>
  <c r="T21" i="34"/>
  <c r="P21" i="34"/>
  <c r="AD20" i="34"/>
  <c r="AH20" i="34" s="1"/>
  <c r="P20" i="34"/>
  <c r="U20" i="34" s="1"/>
  <c r="AH19" i="34"/>
  <c r="AD19" i="34"/>
  <c r="AG19" i="34" s="1"/>
  <c r="P19" i="34"/>
  <c r="U19" i="34" s="1"/>
  <c r="W19" i="34" s="1"/>
  <c r="X19" i="34" s="1"/>
  <c r="Y19" i="34" s="1"/>
  <c r="Z19" i="34" s="1"/>
  <c r="AA19" i="34" s="1"/>
  <c r="AI18" i="34"/>
  <c r="AK18" i="34" s="1"/>
  <c r="AL18" i="34" s="1"/>
  <c r="AM18" i="34" s="1"/>
  <c r="AN18" i="34" s="1"/>
  <c r="AO18" i="34" s="1"/>
  <c r="AD18" i="34"/>
  <c r="AH18" i="34" s="1"/>
  <c r="P18" i="34"/>
  <c r="U18" i="34" s="1"/>
  <c r="AD17" i="34"/>
  <c r="AH17" i="34" s="1"/>
  <c r="P17" i="34"/>
  <c r="U17" i="34" s="1"/>
  <c r="AD16" i="34"/>
  <c r="AI16" i="34" s="1"/>
  <c r="U16" i="34"/>
  <c r="V16" i="34" s="1"/>
  <c r="P16" i="34"/>
  <c r="T16" i="34" s="1"/>
  <c r="AD15" i="34"/>
  <c r="AI15" i="34" s="1"/>
  <c r="U15" i="34"/>
  <c r="W15" i="34" s="1"/>
  <c r="X15" i="34" s="1"/>
  <c r="Y15" i="34" s="1"/>
  <c r="Z15" i="34" s="1"/>
  <c r="AA15" i="34" s="1"/>
  <c r="P15" i="34"/>
  <c r="T15" i="34" s="1"/>
  <c r="AD14" i="34"/>
  <c r="AI14" i="34" s="1"/>
  <c r="P14" i="34"/>
  <c r="U14" i="34" s="1"/>
  <c r="AW2" i="34"/>
  <c r="AS2" i="34" s="1"/>
  <c r="AZ53" i="2"/>
  <c r="AY53" i="2"/>
  <c r="AW53" i="2"/>
  <c r="AV53" i="2"/>
  <c r="AU53" i="2"/>
  <c r="AZ52" i="2"/>
  <c r="AY52" i="2"/>
  <c r="AW52" i="2"/>
  <c r="AV52" i="2"/>
  <c r="AU52" i="2"/>
  <c r="AQ52" i="2"/>
  <c r="AJ52" i="2"/>
  <c r="AC52" i="2"/>
  <c r="V52" i="2"/>
  <c r="O52" i="2"/>
  <c r="G52" i="2"/>
  <c r="AZ51" i="2"/>
  <c r="AY51" i="2"/>
  <c r="AW51" i="2"/>
  <c r="AV51" i="2"/>
  <c r="AU51" i="2"/>
  <c r="AQ51" i="2"/>
  <c r="AJ51" i="2"/>
  <c r="AC51" i="2"/>
  <c r="V51" i="2"/>
  <c r="O51" i="2"/>
  <c r="G51" i="2"/>
  <c r="AQ50" i="2"/>
  <c r="AP50" i="2"/>
  <c r="AO50" i="2"/>
  <c r="AN50" i="2"/>
  <c r="AM50" i="2"/>
  <c r="AL50" i="2"/>
  <c r="AK50" i="2"/>
  <c r="AJ50" i="2"/>
  <c r="AI50" i="2"/>
  <c r="AH50" i="2"/>
  <c r="AG50" i="2"/>
  <c r="AD50" i="2"/>
  <c r="AC50" i="2"/>
  <c r="AB50" i="2"/>
  <c r="AA50" i="2"/>
  <c r="Z50" i="2"/>
  <c r="Y50" i="2"/>
  <c r="X50" i="2"/>
  <c r="W50" i="2"/>
  <c r="V50" i="2"/>
  <c r="U50" i="2"/>
  <c r="T50" i="2"/>
  <c r="S50" i="2"/>
  <c r="P50" i="2"/>
  <c r="O50" i="2"/>
  <c r="N50" i="2"/>
  <c r="M50" i="2"/>
  <c r="L50" i="2"/>
  <c r="K50" i="2"/>
  <c r="J50" i="2"/>
  <c r="I50" i="2"/>
  <c r="G50" i="2"/>
  <c r="F50" i="2"/>
  <c r="E50" i="2"/>
  <c r="D50" i="2"/>
  <c r="A50" i="2"/>
  <c r="AQ49" i="2"/>
  <c r="AP49" i="2"/>
  <c r="AO49" i="2"/>
  <c r="AN49" i="2"/>
  <c r="AM49" i="2"/>
  <c r="AL49" i="2"/>
  <c r="AK49" i="2"/>
  <c r="AJ49" i="2"/>
  <c r="AI49" i="2"/>
  <c r="AH49" i="2"/>
  <c r="AG49" i="2"/>
  <c r="AD49" i="2"/>
  <c r="AC49" i="2"/>
  <c r="AB49" i="2"/>
  <c r="AA49" i="2"/>
  <c r="Z49" i="2"/>
  <c r="Y49" i="2"/>
  <c r="X49" i="2"/>
  <c r="W49" i="2"/>
  <c r="V49" i="2"/>
  <c r="U49" i="2"/>
  <c r="T49" i="2"/>
  <c r="S49" i="2"/>
  <c r="P49" i="2"/>
  <c r="O49" i="2"/>
  <c r="N49" i="2"/>
  <c r="M49" i="2"/>
  <c r="L49" i="2"/>
  <c r="K49" i="2"/>
  <c r="J49" i="2"/>
  <c r="I49" i="2"/>
  <c r="G49" i="2"/>
  <c r="F49" i="2"/>
  <c r="E49" i="2"/>
  <c r="D49" i="2"/>
  <c r="A49" i="2"/>
  <c r="AQ48" i="2"/>
  <c r="AP48" i="2"/>
  <c r="AO48" i="2"/>
  <c r="AN48" i="2"/>
  <c r="AM48" i="2"/>
  <c r="AL48" i="2"/>
  <c r="AK48" i="2"/>
  <c r="AJ48" i="2"/>
  <c r="AI48" i="2"/>
  <c r="AH48" i="2"/>
  <c r="AG48" i="2"/>
  <c r="AD48" i="2"/>
  <c r="AC48" i="2"/>
  <c r="AB48" i="2"/>
  <c r="AA48" i="2"/>
  <c r="Z48" i="2"/>
  <c r="Y48" i="2"/>
  <c r="X48" i="2"/>
  <c r="W48" i="2"/>
  <c r="V48" i="2"/>
  <c r="U48" i="2"/>
  <c r="T48" i="2"/>
  <c r="S48" i="2"/>
  <c r="P48" i="2"/>
  <c r="O48" i="2"/>
  <c r="N48" i="2"/>
  <c r="M48" i="2"/>
  <c r="L48" i="2"/>
  <c r="K48" i="2"/>
  <c r="J48" i="2"/>
  <c r="I48" i="2"/>
  <c r="G48" i="2"/>
  <c r="F48" i="2"/>
  <c r="E48" i="2"/>
  <c r="D48" i="2"/>
  <c r="A48" i="2"/>
  <c r="AZ47" i="2"/>
  <c r="AY47" i="2"/>
  <c r="AW47" i="2"/>
  <c r="AV47" i="2"/>
  <c r="AU47" i="2"/>
  <c r="AQ47" i="2"/>
  <c r="AP47" i="2"/>
  <c r="AO47" i="2"/>
  <c r="AN47" i="2"/>
  <c r="AM47" i="2"/>
  <c r="AL47" i="2"/>
  <c r="AK47" i="2"/>
  <c r="AJ47" i="2"/>
  <c r="AI47" i="2"/>
  <c r="AH47" i="2"/>
  <c r="AG47" i="2"/>
  <c r="AD47" i="2"/>
  <c r="AC47" i="2"/>
  <c r="AB47" i="2"/>
  <c r="AA47" i="2"/>
  <c r="Z47" i="2"/>
  <c r="Y47" i="2"/>
  <c r="X47" i="2"/>
  <c r="W47" i="2"/>
  <c r="V47" i="2"/>
  <c r="U47" i="2"/>
  <c r="T47" i="2"/>
  <c r="S47" i="2"/>
  <c r="P47" i="2"/>
  <c r="O47" i="2"/>
  <c r="N47" i="2"/>
  <c r="M47" i="2"/>
  <c r="L47" i="2"/>
  <c r="K47" i="2"/>
  <c r="J47" i="2"/>
  <c r="I47" i="2"/>
  <c r="G47" i="2"/>
  <c r="F47" i="2"/>
  <c r="E47" i="2"/>
  <c r="D47" i="2"/>
  <c r="A47" i="2"/>
  <c r="AZ46" i="2"/>
  <c r="AY46" i="2"/>
  <c r="AW46" i="2"/>
  <c r="AV46" i="2"/>
  <c r="AU46" i="2"/>
  <c r="AQ46" i="2"/>
  <c r="AP46" i="2"/>
  <c r="AO46" i="2"/>
  <c r="AN46" i="2"/>
  <c r="AM46" i="2"/>
  <c r="AL46" i="2"/>
  <c r="AK46" i="2"/>
  <c r="AJ46" i="2"/>
  <c r="AI46" i="2"/>
  <c r="AH46" i="2"/>
  <c r="AG46" i="2"/>
  <c r="AD46" i="2"/>
  <c r="AC46" i="2"/>
  <c r="AB46" i="2"/>
  <c r="AA46" i="2"/>
  <c r="Z46" i="2"/>
  <c r="Y46" i="2"/>
  <c r="X46" i="2"/>
  <c r="W46" i="2"/>
  <c r="V46" i="2"/>
  <c r="U46" i="2"/>
  <c r="T46" i="2"/>
  <c r="S46" i="2"/>
  <c r="P46" i="2"/>
  <c r="O46" i="2"/>
  <c r="N46" i="2"/>
  <c r="M46" i="2"/>
  <c r="L46" i="2"/>
  <c r="K46" i="2"/>
  <c r="J46" i="2"/>
  <c r="I46" i="2"/>
  <c r="G46" i="2"/>
  <c r="F46" i="2"/>
  <c r="E46" i="2"/>
  <c r="D46" i="2"/>
  <c r="A46" i="2"/>
  <c r="AZ45" i="2"/>
  <c r="AY45" i="2"/>
  <c r="AW45" i="2"/>
  <c r="AV45" i="2"/>
  <c r="AU45" i="2"/>
  <c r="AQ45" i="2"/>
  <c r="AP45" i="2"/>
  <c r="AO45" i="2"/>
  <c r="AN45" i="2"/>
  <c r="AM45" i="2"/>
  <c r="AL45" i="2"/>
  <c r="AK45" i="2"/>
  <c r="AJ45" i="2"/>
  <c r="AI45" i="2"/>
  <c r="AH45" i="2"/>
  <c r="AG45" i="2"/>
  <c r="AD45" i="2"/>
  <c r="AC45" i="2"/>
  <c r="AB45" i="2"/>
  <c r="AA45" i="2"/>
  <c r="Z45" i="2"/>
  <c r="Y45" i="2"/>
  <c r="X45" i="2"/>
  <c r="W45" i="2"/>
  <c r="V45" i="2"/>
  <c r="U45" i="2"/>
  <c r="T45" i="2"/>
  <c r="S45" i="2"/>
  <c r="P45" i="2"/>
  <c r="O45" i="2"/>
  <c r="N45" i="2"/>
  <c r="M45" i="2"/>
  <c r="L45" i="2"/>
  <c r="K45" i="2"/>
  <c r="J45" i="2"/>
  <c r="I45" i="2"/>
  <c r="G45" i="2"/>
  <c r="F45" i="2"/>
  <c r="E45" i="2"/>
  <c r="D45" i="2"/>
  <c r="A45" i="2"/>
  <c r="AQ44" i="2"/>
  <c r="AP44" i="2"/>
  <c r="AO44" i="2"/>
  <c r="AN44" i="2"/>
  <c r="AM44" i="2"/>
  <c r="AL44" i="2"/>
  <c r="AK44" i="2"/>
  <c r="AJ44" i="2"/>
  <c r="AI44" i="2"/>
  <c r="AH44" i="2"/>
  <c r="AG44" i="2"/>
  <c r="AD44" i="2"/>
  <c r="AC44" i="2"/>
  <c r="AB44" i="2"/>
  <c r="AA44" i="2"/>
  <c r="Z44" i="2"/>
  <c r="Y44" i="2"/>
  <c r="X44" i="2"/>
  <c r="W44" i="2"/>
  <c r="V44" i="2"/>
  <c r="U44" i="2"/>
  <c r="T44" i="2"/>
  <c r="S44" i="2"/>
  <c r="P44" i="2"/>
  <c r="O44" i="2"/>
  <c r="N44" i="2"/>
  <c r="M44" i="2"/>
  <c r="L44" i="2"/>
  <c r="K44" i="2"/>
  <c r="J44" i="2"/>
  <c r="I44" i="2"/>
  <c r="G44" i="2"/>
  <c r="F44" i="2"/>
  <c r="E44" i="2"/>
  <c r="D44" i="2"/>
  <c r="A44" i="2"/>
  <c r="AQ43" i="2"/>
  <c r="AP43" i="2"/>
  <c r="AO43" i="2"/>
  <c r="AN43" i="2"/>
  <c r="AM43" i="2"/>
  <c r="AL43" i="2"/>
  <c r="AK43" i="2"/>
  <c r="AJ43" i="2"/>
  <c r="AI43" i="2"/>
  <c r="AH43" i="2"/>
  <c r="AG43" i="2"/>
  <c r="AD43" i="2"/>
  <c r="AC43" i="2"/>
  <c r="AB43" i="2"/>
  <c r="AA43" i="2"/>
  <c r="Z43" i="2"/>
  <c r="Y43" i="2"/>
  <c r="X43" i="2"/>
  <c r="W43" i="2"/>
  <c r="V43" i="2"/>
  <c r="U43" i="2"/>
  <c r="T43" i="2"/>
  <c r="S43" i="2"/>
  <c r="P43" i="2"/>
  <c r="O43" i="2"/>
  <c r="N43" i="2"/>
  <c r="M43" i="2"/>
  <c r="L43" i="2"/>
  <c r="K43" i="2"/>
  <c r="J43" i="2"/>
  <c r="I43" i="2"/>
  <c r="G43" i="2"/>
  <c r="F43" i="2"/>
  <c r="E43" i="2"/>
  <c r="D43" i="2"/>
  <c r="A43" i="2"/>
  <c r="AQ42" i="2"/>
  <c r="AP42" i="2"/>
  <c r="AO42" i="2"/>
  <c r="AN42" i="2"/>
  <c r="AM42" i="2"/>
  <c r="AL42" i="2"/>
  <c r="AK42" i="2"/>
  <c r="AJ42" i="2"/>
  <c r="AI42" i="2"/>
  <c r="AH42" i="2"/>
  <c r="AG42" i="2"/>
  <c r="AD42" i="2"/>
  <c r="AC42" i="2"/>
  <c r="AB42" i="2"/>
  <c r="AA42" i="2"/>
  <c r="Z42" i="2"/>
  <c r="Y42" i="2"/>
  <c r="X42" i="2"/>
  <c r="W42" i="2"/>
  <c r="V42" i="2"/>
  <c r="U42" i="2"/>
  <c r="T42" i="2"/>
  <c r="S42" i="2"/>
  <c r="P42" i="2"/>
  <c r="O42" i="2"/>
  <c r="N42" i="2"/>
  <c r="M42" i="2"/>
  <c r="L42" i="2"/>
  <c r="K42" i="2"/>
  <c r="J42" i="2"/>
  <c r="I42" i="2"/>
  <c r="G42" i="2"/>
  <c r="F42" i="2"/>
  <c r="E42" i="2"/>
  <c r="D42" i="2"/>
  <c r="A42" i="2"/>
  <c r="AZ41" i="2"/>
  <c r="AY41" i="2"/>
  <c r="AW41" i="2"/>
  <c r="AV41" i="2"/>
  <c r="AU41" i="2"/>
  <c r="AQ41" i="2"/>
  <c r="AP41" i="2"/>
  <c r="AO41" i="2"/>
  <c r="AN41" i="2"/>
  <c r="AM41" i="2"/>
  <c r="AL41" i="2"/>
  <c r="AK41" i="2"/>
  <c r="AJ41" i="2"/>
  <c r="AI41" i="2"/>
  <c r="AH41" i="2"/>
  <c r="AG41" i="2"/>
  <c r="AD41" i="2"/>
  <c r="AC41" i="2"/>
  <c r="AB41" i="2"/>
  <c r="AA41" i="2"/>
  <c r="Z41" i="2"/>
  <c r="Y41" i="2"/>
  <c r="X41" i="2"/>
  <c r="W41" i="2"/>
  <c r="V41" i="2"/>
  <c r="U41" i="2"/>
  <c r="T41" i="2"/>
  <c r="S41" i="2"/>
  <c r="P41" i="2"/>
  <c r="O41" i="2"/>
  <c r="N41" i="2"/>
  <c r="M41" i="2"/>
  <c r="L41" i="2"/>
  <c r="K41" i="2"/>
  <c r="J41" i="2"/>
  <c r="I41" i="2"/>
  <c r="G41" i="2"/>
  <c r="F41" i="2"/>
  <c r="E41" i="2"/>
  <c r="D41" i="2"/>
  <c r="A41" i="2"/>
  <c r="AZ40" i="2"/>
  <c r="AY40" i="2"/>
  <c r="AW40" i="2"/>
  <c r="AV40" i="2"/>
  <c r="AU40" i="2"/>
  <c r="AZ39" i="2"/>
  <c r="AY39" i="2"/>
  <c r="AW39" i="2"/>
  <c r="AV39" i="2"/>
  <c r="AU39" i="2"/>
  <c r="AQ37" i="2"/>
  <c r="AJ37" i="2"/>
  <c r="AC37" i="2"/>
  <c r="V37" i="2"/>
  <c r="O37" i="2"/>
  <c r="G37" i="2"/>
  <c r="AQ36" i="2"/>
  <c r="AJ36" i="2"/>
  <c r="AC36" i="2"/>
  <c r="V36" i="2"/>
  <c r="O36" i="2"/>
  <c r="G36" i="2"/>
  <c r="AQ35" i="2"/>
  <c r="AP35" i="2"/>
  <c r="AO35" i="2"/>
  <c r="AN35" i="2"/>
  <c r="AM35" i="2"/>
  <c r="AL35" i="2"/>
  <c r="AK35" i="2"/>
  <c r="AJ35" i="2"/>
  <c r="AI35" i="2"/>
  <c r="AH35" i="2"/>
  <c r="AG35" i="2"/>
  <c r="AD35" i="2"/>
  <c r="AC35" i="2"/>
  <c r="AB35" i="2"/>
  <c r="AA35" i="2"/>
  <c r="Z35" i="2"/>
  <c r="Y35" i="2"/>
  <c r="X35" i="2"/>
  <c r="W35" i="2"/>
  <c r="V35" i="2"/>
  <c r="U35" i="2"/>
  <c r="T35" i="2"/>
  <c r="P35" i="2"/>
  <c r="O35" i="2"/>
  <c r="N35" i="2"/>
  <c r="M35" i="2"/>
  <c r="L35" i="2"/>
  <c r="K35" i="2"/>
  <c r="J35" i="2"/>
  <c r="I35" i="2"/>
  <c r="G35" i="2"/>
  <c r="F35" i="2"/>
  <c r="E35" i="2"/>
  <c r="D35" i="2"/>
  <c r="A35" i="2"/>
  <c r="AZ34" i="2"/>
  <c r="AY34" i="2"/>
  <c r="AX34" i="2"/>
  <c r="AW34" i="2"/>
  <c r="AQ34" i="2"/>
  <c r="AP34" i="2"/>
  <c r="AO34" i="2"/>
  <c r="AN34" i="2"/>
  <c r="AM34" i="2"/>
  <c r="AL34" i="2"/>
  <c r="AK34" i="2"/>
  <c r="AJ34" i="2"/>
  <c r="AI34" i="2"/>
  <c r="AH34" i="2"/>
  <c r="AG34" i="2"/>
  <c r="AD34" i="2"/>
  <c r="AC34" i="2"/>
  <c r="AB34" i="2"/>
  <c r="AA34" i="2"/>
  <c r="Z34" i="2"/>
  <c r="Y34" i="2"/>
  <c r="X34" i="2"/>
  <c r="W34" i="2"/>
  <c r="V34" i="2"/>
  <c r="U34" i="2"/>
  <c r="T34" i="2"/>
  <c r="P34" i="2"/>
  <c r="O34" i="2"/>
  <c r="N34" i="2"/>
  <c r="M34" i="2"/>
  <c r="L34" i="2"/>
  <c r="K34" i="2"/>
  <c r="J34" i="2"/>
  <c r="I34" i="2"/>
  <c r="G34" i="2"/>
  <c r="F34" i="2"/>
  <c r="E34" i="2"/>
  <c r="D34" i="2"/>
  <c r="A34" i="2"/>
  <c r="AZ33" i="2"/>
  <c r="AY33" i="2"/>
  <c r="AX33" i="2"/>
  <c r="AW33" i="2"/>
  <c r="AQ33" i="2"/>
  <c r="AP33" i="2"/>
  <c r="AO33" i="2"/>
  <c r="AN33" i="2"/>
  <c r="AM33" i="2"/>
  <c r="AL33" i="2"/>
  <c r="AK33" i="2"/>
  <c r="AJ33" i="2"/>
  <c r="AI33" i="2"/>
  <c r="AH33" i="2"/>
  <c r="AG33" i="2"/>
  <c r="AD33" i="2"/>
  <c r="AC33" i="2"/>
  <c r="AB33" i="2"/>
  <c r="AA33" i="2"/>
  <c r="Z33" i="2"/>
  <c r="Y33" i="2"/>
  <c r="X33" i="2"/>
  <c r="W33" i="2"/>
  <c r="V33" i="2"/>
  <c r="U33" i="2"/>
  <c r="T33" i="2"/>
  <c r="P33" i="2"/>
  <c r="O33" i="2"/>
  <c r="N33" i="2"/>
  <c r="M33" i="2"/>
  <c r="L33" i="2"/>
  <c r="K33" i="2"/>
  <c r="J33" i="2"/>
  <c r="I33" i="2"/>
  <c r="G33" i="2"/>
  <c r="F33" i="2"/>
  <c r="E33" i="2"/>
  <c r="D33" i="2"/>
  <c r="A33" i="2"/>
  <c r="AZ32" i="2"/>
  <c r="AY32" i="2"/>
  <c r="AX32" i="2"/>
  <c r="AW32" i="2"/>
  <c r="AQ32" i="2"/>
  <c r="AP32" i="2"/>
  <c r="AO32" i="2"/>
  <c r="AN32" i="2"/>
  <c r="AM32" i="2"/>
  <c r="AL32" i="2"/>
  <c r="AK32" i="2"/>
  <c r="AJ32" i="2"/>
  <c r="AI32" i="2"/>
  <c r="AH32" i="2"/>
  <c r="AG32" i="2"/>
  <c r="AD32" i="2"/>
  <c r="AC32" i="2"/>
  <c r="AB32" i="2"/>
  <c r="AA32" i="2"/>
  <c r="Z32" i="2"/>
  <c r="Y32" i="2"/>
  <c r="X32" i="2"/>
  <c r="W32" i="2"/>
  <c r="V32" i="2"/>
  <c r="U32" i="2"/>
  <c r="T32" i="2"/>
  <c r="P32" i="2"/>
  <c r="O32" i="2"/>
  <c r="N32" i="2"/>
  <c r="M32" i="2"/>
  <c r="L32" i="2"/>
  <c r="K32" i="2"/>
  <c r="J32" i="2"/>
  <c r="I32" i="2"/>
  <c r="G32" i="2"/>
  <c r="F32" i="2"/>
  <c r="E32" i="2"/>
  <c r="D32" i="2"/>
  <c r="A32" i="2"/>
  <c r="AQ31" i="2"/>
  <c r="AP31" i="2"/>
  <c r="AO31" i="2"/>
  <c r="AN31" i="2"/>
  <c r="AM31" i="2"/>
  <c r="AL31" i="2"/>
  <c r="AK31" i="2"/>
  <c r="AJ31" i="2"/>
  <c r="AI31" i="2"/>
  <c r="AH31" i="2"/>
  <c r="AG31" i="2"/>
  <c r="AD31" i="2"/>
  <c r="AC31" i="2"/>
  <c r="AB31" i="2"/>
  <c r="AA31" i="2"/>
  <c r="Z31" i="2"/>
  <c r="Y31" i="2"/>
  <c r="X31" i="2"/>
  <c r="W31" i="2"/>
  <c r="V31" i="2"/>
  <c r="U31" i="2"/>
  <c r="T31" i="2"/>
  <c r="P31" i="2"/>
  <c r="O31" i="2"/>
  <c r="N31" i="2"/>
  <c r="M31" i="2"/>
  <c r="L31" i="2"/>
  <c r="K31" i="2"/>
  <c r="J31" i="2"/>
  <c r="I31" i="2"/>
  <c r="G31" i="2"/>
  <c r="F31" i="2"/>
  <c r="E31" i="2"/>
  <c r="D31" i="2"/>
  <c r="A31" i="2"/>
  <c r="AQ30" i="2"/>
  <c r="AP30" i="2"/>
  <c r="AO30" i="2"/>
  <c r="AN30" i="2"/>
  <c r="AM30" i="2"/>
  <c r="AL30" i="2"/>
  <c r="AK30" i="2"/>
  <c r="AJ30" i="2"/>
  <c r="AI30" i="2"/>
  <c r="AH30" i="2"/>
  <c r="AG30" i="2"/>
  <c r="AD30" i="2"/>
  <c r="AC30" i="2"/>
  <c r="AB30" i="2"/>
  <c r="AA30" i="2"/>
  <c r="Z30" i="2"/>
  <c r="Y30" i="2"/>
  <c r="X30" i="2"/>
  <c r="W30" i="2"/>
  <c r="V30" i="2"/>
  <c r="U30" i="2"/>
  <c r="T30" i="2"/>
  <c r="P30" i="2"/>
  <c r="O30" i="2"/>
  <c r="N30" i="2"/>
  <c r="M30" i="2"/>
  <c r="L30" i="2"/>
  <c r="K30" i="2"/>
  <c r="J30" i="2"/>
  <c r="I30" i="2"/>
  <c r="G30" i="2"/>
  <c r="F30" i="2"/>
  <c r="E30" i="2"/>
  <c r="D30" i="2"/>
  <c r="A30" i="2"/>
  <c r="AS29" i="2"/>
  <c r="AQ29" i="2"/>
  <c r="AP29" i="2"/>
  <c r="AO29" i="2"/>
  <c r="AN29" i="2"/>
  <c r="AM29" i="2"/>
  <c r="AL29" i="2"/>
  <c r="AK29" i="2"/>
  <c r="AJ29" i="2"/>
  <c r="AI29" i="2"/>
  <c r="AH29" i="2"/>
  <c r="AG29" i="2"/>
  <c r="AD29" i="2"/>
  <c r="AC29" i="2"/>
  <c r="AB29" i="2"/>
  <c r="AA29" i="2"/>
  <c r="Z29" i="2"/>
  <c r="Y29" i="2"/>
  <c r="X29" i="2"/>
  <c r="W29" i="2"/>
  <c r="V29" i="2"/>
  <c r="U29" i="2"/>
  <c r="T29" i="2"/>
  <c r="P29" i="2"/>
  <c r="O29" i="2"/>
  <c r="N29" i="2"/>
  <c r="M29" i="2"/>
  <c r="L29" i="2"/>
  <c r="K29" i="2"/>
  <c r="J29" i="2"/>
  <c r="I29" i="2"/>
  <c r="G29" i="2"/>
  <c r="F29" i="2"/>
  <c r="E29" i="2"/>
  <c r="D29" i="2"/>
  <c r="A29" i="2"/>
  <c r="AZ28" i="2"/>
  <c r="AY28" i="2"/>
  <c r="AX28" i="2"/>
  <c r="AW28" i="2"/>
  <c r="AQ28" i="2"/>
  <c r="AP28" i="2"/>
  <c r="AO28" i="2"/>
  <c r="AN28" i="2"/>
  <c r="AM28" i="2"/>
  <c r="AL28" i="2"/>
  <c r="AK28" i="2"/>
  <c r="AJ28" i="2"/>
  <c r="AI28" i="2"/>
  <c r="AH28" i="2"/>
  <c r="AG28" i="2"/>
  <c r="AD28" i="2"/>
  <c r="AC28" i="2"/>
  <c r="AB28" i="2"/>
  <c r="AA28" i="2"/>
  <c r="Z28" i="2"/>
  <c r="Y28" i="2"/>
  <c r="X28" i="2"/>
  <c r="W28" i="2"/>
  <c r="V28" i="2"/>
  <c r="U28" i="2"/>
  <c r="T28" i="2"/>
  <c r="P28" i="2"/>
  <c r="O28" i="2"/>
  <c r="N28" i="2"/>
  <c r="M28" i="2"/>
  <c r="L28" i="2"/>
  <c r="K28" i="2"/>
  <c r="J28" i="2"/>
  <c r="I28" i="2"/>
  <c r="G28" i="2"/>
  <c r="F28" i="2"/>
  <c r="E28" i="2"/>
  <c r="D28" i="2"/>
  <c r="A28" i="2"/>
  <c r="AZ27" i="2"/>
  <c r="AY27" i="2"/>
  <c r="AX27" i="2"/>
  <c r="AW27" i="2"/>
  <c r="AQ27" i="2"/>
  <c r="AP27" i="2"/>
  <c r="AO27" i="2"/>
  <c r="AN27" i="2"/>
  <c r="AM27" i="2"/>
  <c r="AL27" i="2"/>
  <c r="AK27" i="2"/>
  <c r="AJ27" i="2"/>
  <c r="AI27" i="2"/>
  <c r="AH27" i="2"/>
  <c r="AG27" i="2"/>
  <c r="AD27" i="2"/>
  <c r="AC27" i="2"/>
  <c r="AB27" i="2"/>
  <c r="AA27" i="2"/>
  <c r="Z27" i="2"/>
  <c r="Y27" i="2"/>
  <c r="X27" i="2"/>
  <c r="W27" i="2"/>
  <c r="V27" i="2"/>
  <c r="U27" i="2"/>
  <c r="T27" i="2"/>
  <c r="P27" i="2"/>
  <c r="O27" i="2"/>
  <c r="N27" i="2"/>
  <c r="M27" i="2"/>
  <c r="L27" i="2"/>
  <c r="K27" i="2"/>
  <c r="J27" i="2"/>
  <c r="I27" i="2"/>
  <c r="G27" i="2"/>
  <c r="F27" i="2"/>
  <c r="E27" i="2"/>
  <c r="D27" i="2"/>
  <c r="A27" i="2"/>
  <c r="AZ26" i="2"/>
  <c r="AY26" i="2"/>
  <c r="AX26" i="2"/>
  <c r="AW26" i="2"/>
  <c r="AT26" i="2"/>
  <c r="AQ26" i="2"/>
  <c r="AP26" i="2"/>
  <c r="AO26" i="2"/>
  <c r="AN26" i="2"/>
  <c r="AM26" i="2"/>
  <c r="AL26" i="2"/>
  <c r="AK26" i="2"/>
  <c r="AJ26" i="2"/>
  <c r="AI26" i="2"/>
  <c r="AH26" i="2"/>
  <c r="AG26" i="2"/>
  <c r="AD26" i="2"/>
  <c r="AC26" i="2"/>
  <c r="AB26" i="2"/>
  <c r="AA26" i="2"/>
  <c r="Z26" i="2"/>
  <c r="Y26" i="2"/>
  <c r="X26" i="2"/>
  <c r="W26" i="2"/>
  <c r="V26" i="2"/>
  <c r="U26" i="2"/>
  <c r="T26" i="2"/>
  <c r="P26" i="2"/>
  <c r="O26" i="2"/>
  <c r="N26" i="2"/>
  <c r="M26" i="2"/>
  <c r="L26" i="2"/>
  <c r="K26" i="2"/>
  <c r="J26" i="2"/>
  <c r="I26" i="2"/>
  <c r="G26" i="2"/>
  <c r="F26" i="2"/>
  <c r="E26" i="2"/>
  <c r="D26" i="2"/>
  <c r="A26" i="2"/>
  <c r="AT25" i="2"/>
  <c r="AT24" i="2"/>
  <c r="AT23" i="2"/>
  <c r="AQ22" i="2"/>
  <c r="AJ22" i="2"/>
  <c r="AC22" i="2"/>
  <c r="V22" i="2"/>
  <c r="O22" i="2"/>
  <c r="G22" i="2"/>
  <c r="AQ21" i="2"/>
  <c r="AJ21" i="2"/>
  <c r="AC21" i="2"/>
  <c r="V21" i="2"/>
  <c r="O21" i="2"/>
  <c r="G21" i="2"/>
  <c r="AZ17" i="2"/>
  <c r="AY17" i="2"/>
  <c r="AX17" i="2"/>
  <c r="AT17" i="2"/>
  <c r="AQ17" i="2"/>
  <c r="AP17" i="2"/>
  <c r="AO17" i="2"/>
  <c r="AN17" i="2"/>
  <c r="AM17" i="2"/>
  <c r="AL17" i="2"/>
  <c r="AK17" i="2"/>
  <c r="AJ17" i="2"/>
  <c r="AI17" i="2"/>
  <c r="AH17" i="2"/>
  <c r="AG17" i="2"/>
  <c r="AD17" i="2"/>
  <c r="AC17" i="2"/>
  <c r="AB17" i="2"/>
  <c r="AA17" i="2"/>
  <c r="Z17" i="2"/>
  <c r="Y17" i="2"/>
  <c r="X17" i="2"/>
  <c r="W17" i="2"/>
  <c r="V17" i="2"/>
  <c r="U17" i="2"/>
  <c r="T17" i="2"/>
  <c r="S17" i="2"/>
  <c r="P17" i="2"/>
  <c r="O17" i="2"/>
  <c r="N17" i="2"/>
  <c r="M17" i="2"/>
  <c r="L17" i="2"/>
  <c r="K17" i="2"/>
  <c r="J17" i="2"/>
  <c r="I17" i="2"/>
  <c r="G17" i="2"/>
  <c r="F17" i="2"/>
  <c r="E17" i="2"/>
  <c r="D17" i="2"/>
  <c r="A17" i="2"/>
  <c r="AZ16" i="2"/>
  <c r="AY16" i="2"/>
  <c r="AX16" i="2"/>
  <c r="AT16" i="2"/>
  <c r="AQ16" i="2"/>
  <c r="AP16" i="2"/>
  <c r="AO16" i="2"/>
  <c r="AN16" i="2"/>
  <c r="AM16" i="2"/>
  <c r="AL16" i="2"/>
  <c r="AK16" i="2"/>
  <c r="AJ16" i="2"/>
  <c r="AI16" i="2"/>
  <c r="AH16" i="2"/>
  <c r="AG16" i="2"/>
  <c r="AD16" i="2"/>
  <c r="AC16" i="2"/>
  <c r="AB16" i="2"/>
  <c r="AA16" i="2"/>
  <c r="Z16" i="2"/>
  <c r="Y16" i="2"/>
  <c r="X16" i="2"/>
  <c r="W16" i="2"/>
  <c r="V16" i="2"/>
  <c r="U16" i="2"/>
  <c r="T16" i="2"/>
  <c r="S16" i="2"/>
  <c r="P16" i="2"/>
  <c r="O16" i="2"/>
  <c r="N16" i="2"/>
  <c r="M16" i="2"/>
  <c r="L16" i="2"/>
  <c r="K16" i="2"/>
  <c r="J16" i="2"/>
  <c r="I16" i="2"/>
  <c r="G16" i="2"/>
  <c r="F16" i="2"/>
  <c r="E16" i="2"/>
  <c r="D16" i="2"/>
  <c r="A16" i="2"/>
  <c r="AZ15" i="2"/>
  <c r="AY15" i="2"/>
  <c r="AX15" i="2"/>
  <c r="AT15" i="2"/>
  <c r="AQ15" i="2"/>
  <c r="AP15" i="2"/>
  <c r="AO15" i="2"/>
  <c r="AN15" i="2"/>
  <c r="AM15" i="2"/>
  <c r="AL15" i="2"/>
  <c r="AK15" i="2"/>
  <c r="AJ15" i="2"/>
  <c r="AI15" i="2"/>
  <c r="AH15" i="2"/>
  <c r="AG15" i="2"/>
  <c r="AD15" i="2"/>
  <c r="AC15" i="2"/>
  <c r="AB15" i="2"/>
  <c r="AA15" i="2"/>
  <c r="Z15" i="2"/>
  <c r="Y15" i="2"/>
  <c r="X15" i="2"/>
  <c r="W15" i="2"/>
  <c r="V15" i="2"/>
  <c r="U15" i="2"/>
  <c r="T15" i="2"/>
  <c r="S15" i="2"/>
  <c r="P15" i="2"/>
  <c r="O15" i="2"/>
  <c r="N15" i="2"/>
  <c r="M15" i="2"/>
  <c r="L15" i="2"/>
  <c r="K15" i="2"/>
  <c r="J15" i="2"/>
  <c r="I15" i="2"/>
  <c r="G15" i="2"/>
  <c r="F15" i="2"/>
  <c r="E15" i="2"/>
  <c r="D15" i="2"/>
  <c r="A15" i="2"/>
  <c r="AZ14" i="2"/>
  <c r="AY14" i="2"/>
  <c r="AX14" i="2"/>
  <c r="AT14" i="2"/>
  <c r="AQ14" i="2"/>
  <c r="AP14" i="2"/>
  <c r="AO14" i="2"/>
  <c r="AN14" i="2"/>
  <c r="AM14" i="2"/>
  <c r="AL14" i="2"/>
  <c r="AK14" i="2"/>
  <c r="AJ14" i="2"/>
  <c r="AI14" i="2"/>
  <c r="AH14" i="2"/>
  <c r="AG14" i="2"/>
  <c r="AD14" i="2"/>
  <c r="AC14" i="2"/>
  <c r="AB14" i="2"/>
  <c r="AA14" i="2"/>
  <c r="Z14" i="2"/>
  <c r="Y14" i="2"/>
  <c r="X14" i="2"/>
  <c r="W14" i="2"/>
  <c r="V14" i="2"/>
  <c r="U14" i="2"/>
  <c r="T14" i="2"/>
  <c r="S14" i="2"/>
  <c r="P14" i="2"/>
  <c r="O14" i="2"/>
  <c r="N14" i="2"/>
  <c r="M14" i="2"/>
  <c r="L14" i="2"/>
  <c r="K14" i="2"/>
  <c r="J14" i="2"/>
  <c r="I14" i="2"/>
  <c r="G14" i="2"/>
  <c r="F14" i="2"/>
  <c r="E14" i="2"/>
  <c r="D14" i="2"/>
  <c r="A14" i="2"/>
  <c r="AZ13" i="2"/>
  <c r="AY13" i="2"/>
  <c r="AX13" i="2"/>
  <c r="AT13" i="2"/>
  <c r="AQ13" i="2"/>
  <c r="AP13" i="2"/>
  <c r="AO13" i="2"/>
  <c r="AN13" i="2"/>
  <c r="AM13" i="2"/>
  <c r="AL13" i="2"/>
  <c r="AK13" i="2"/>
  <c r="AJ13" i="2"/>
  <c r="AI13" i="2"/>
  <c r="AH13" i="2"/>
  <c r="AG13" i="2"/>
  <c r="AD13" i="2"/>
  <c r="AC13" i="2"/>
  <c r="AB13" i="2"/>
  <c r="AA13" i="2"/>
  <c r="Z13" i="2"/>
  <c r="Y13" i="2"/>
  <c r="X13" i="2"/>
  <c r="W13" i="2"/>
  <c r="V13" i="2"/>
  <c r="U13" i="2"/>
  <c r="T13" i="2"/>
  <c r="S13" i="2"/>
  <c r="P13" i="2"/>
  <c r="O13" i="2"/>
  <c r="N13" i="2"/>
  <c r="M13" i="2"/>
  <c r="L13" i="2"/>
  <c r="K13" i="2"/>
  <c r="J13" i="2"/>
  <c r="I13" i="2"/>
  <c r="G13" i="2"/>
  <c r="F13" i="2"/>
  <c r="E13" i="2"/>
  <c r="D13" i="2"/>
  <c r="A13" i="2"/>
  <c r="BD12" i="2"/>
  <c r="BC12" i="2"/>
  <c r="AZ12" i="2"/>
  <c r="AY12" i="2"/>
  <c r="AX12" i="2"/>
  <c r="BD11" i="2"/>
  <c r="BC11" i="2"/>
  <c r="AZ11" i="2"/>
  <c r="AY11" i="2"/>
  <c r="AX11" i="2"/>
  <c r="BD10" i="2"/>
  <c r="BC10" i="2"/>
  <c r="AZ10" i="2"/>
  <c r="AY10" i="2"/>
  <c r="AX10" i="2"/>
  <c r="BC9" i="2"/>
  <c r="AZ9" i="2"/>
  <c r="AY9" i="2"/>
  <c r="AX9" i="2"/>
  <c r="AT9" i="2"/>
  <c r="F9" i="2"/>
  <c r="E9" i="2"/>
  <c r="A9" i="2"/>
  <c r="F8" i="2"/>
  <c r="E8" i="2"/>
  <c r="A8" i="2"/>
  <c r="F7" i="2"/>
  <c r="E7" i="2"/>
  <c r="A7" i="2"/>
  <c r="F6" i="2"/>
  <c r="E6" i="2"/>
  <c r="A6" i="2"/>
  <c r="F5" i="2"/>
  <c r="E5" i="2"/>
  <c r="A5" i="2"/>
  <c r="F4" i="2"/>
  <c r="E4" i="2"/>
  <c r="A4" i="2"/>
  <c r="AW2" i="2"/>
  <c r="AS2" i="2"/>
  <c r="AK29" i="34" l="1"/>
  <c r="AL29" i="34" s="1"/>
  <c r="AM29" i="34" s="1"/>
  <c r="AN29" i="34" s="1"/>
  <c r="AO29" i="34" s="1"/>
  <c r="AJ29" i="34"/>
  <c r="T30" i="34"/>
  <c r="I31" i="34"/>
  <c r="J31" i="34" s="1"/>
  <c r="K31" i="34" s="1"/>
  <c r="L31" i="34" s="1"/>
  <c r="M31" i="34" s="1"/>
  <c r="N31" i="34" s="1"/>
  <c r="O31" i="34" s="1"/>
  <c r="AH14" i="34"/>
  <c r="T19" i="34"/>
  <c r="AB19" i="34" s="1"/>
  <c r="AC19" i="34" s="1"/>
  <c r="AG29" i="34"/>
  <c r="AH34" i="34"/>
  <c r="G43" i="34"/>
  <c r="G54" i="34" s="1"/>
  <c r="AI20" i="34"/>
  <c r="AK20" i="34" s="1"/>
  <c r="AL20" i="34" s="1"/>
  <c r="AM20" i="34" s="1"/>
  <c r="AN20" i="34" s="1"/>
  <c r="AO20" i="34" s="1"/>
  <c r="AP20" i="34" s="1"/>
  <c r="AQ20" i="34" s="1"/>
  <c r="AH29" i="34"/>
  <c r="AI34" i="34"/>
  <c r="AJ34" i="34" s="1"/>
  <c r="V52" i="34"/>
  <c r="AG14" i="34"/>
  <c r="AB21" i="34"/>
  <c r="AC21" i="34" s="1"/>
  <c r="I28" i="34"/>
  <c r="J28" i="34" s="1"/>
  <c r="K28" i="34" s="1"/>
  <c r="L28" i="34" s="1"/>
  <c r="M28" i="34" s="1"/>
  <c r="N28" i="34" s="1"/>
  <c r="O28" i="34" s="1"/>
  <c r="AG30" i="34"/>
  <c r="G36" i="34"/>
  <c r="AI44" i="34"/>
  <c r="AB15" i="34"/>
  <c r="AC15" i="34" s="1"/>
  <c r="AP18" i="34"/>
  <c r="AQ18" i="34" s="1"/>
  <c r="AG18" i="34"/>
  <c r="AI19" i="34"/>
  <c r="AJ19" i="34" s="1"/>
  <c r="G34" i="34"/>
  <c r="E35" i="34"/>
  <c r="V53" i="34"/>
  <c r="BB16" i="34" s="1"/>
  <c r="AK16" i="34"/>
  <c r="AL16" i="34" s="1"/>
  <c r="AM16" i="34" s="1"/>
  <c r="AN16" i="34" s="1"/>
  <c r="AO16" i="34" s="1"/>
  <c r="AJ16" i="34"/>
  <c r="W17" i="34"/>
  <c r="X17" i="34" s="1"/>
  <c r="Y17" i="34" s="1"/>
  <c r="Z17" i="34" s="1"/>
  <c r="AA17" i="34" s="1"/>
  <c r="V17" i="34"/>
  <c r="G39" i="34"/>
  <c r="G38" i="34"/>
  <c r="V18" i="34"/>
  <c r="W18" i="34"/>
  <c r="X18" i="34" s="1"/>
  <c r="Y18" i="34" s="1"/>
  <c r="Z18" i="34" s="1"/>
  <c r="AA18" i="34" s="1"/>
  <c r="O39" i="34"/>
  <c r="O38" i="34"/>
  <c r="AJ21" i="34"/>
  <c r="AK21" i="34"/>
  <c r="AL21" i="34" s="1"/>
  <c r="AM21" i="34" s="1"/>
  <c r="AN21" i="34" s="1"/>
  <c r="AO21" i="34" s="1"/>
  <c r="W28" i="34"/>
  <c r="X28" i="34" s="1"/>
  <c r="Y28" i="34" s="1"/>
  <c r="Z28" i="34" s="1"/>
  <c r="AA28" i="34" s="1"/>
  <c r="V28" i="34"/>
  <c r="AZ17" i="34"/>
  <c r="AZ13" i="34"/>
  <c r="AZ9" i="34"/>
  <c r="AZ10" i="34"/>
  <c r="AZ14" i="34"/>
  <c r="AZ11" i="34"/>
  <c r="AZ15" i="34"/>
  <c r="AZ16" i="34"/>
  <c r="AZ12" i="34"/>
  <c r="AK15" i="34"/>
  <c r="AL15" i="34" s="1"/>
  <c r="AM15" i="34" s="1"/>
  <c r="AN15" i="34" s="1"/>
  <c r="AO15" i="34" s="1"/>
  <c r="AP15" i="34" s="1"/>
  <c r="AQ15" i="34" s="1"/>
  <c r="AJ15" i="34"/>
  <c r="W22" i="34"/>
  <c r="X22" i="34" s="1"/>
  <c r="Y22" i="34" s="1"/>
  <c r="Z22" i="34" s="1"/>
  <c r="AA22" i="34" s="1"/>
  <c r="V22" i="34"/>
  <c r="W14" i="34"/>
  <c r="X14" i="34" s="1"/>
  <c r="Y14" i="34" s="1"/>
  <c r="Z14" i="34" s="1"/>
  <c r="AA14" i="34" s="1"/>
  <c r="AB14" i="34" s="1"/>
  <c r="AC14" i="34" s="1"/>
  <c r="V14" i="34"/>
  <c r="W20" i="34"/>
  <c r="X20" i="34" s="1"/>
  <c r="Y20" i="34" s="1"/>
  <c r="Z20" i="34" s="1"/>
  <c r="AA20" i="34" s="1"/>
  <c r="V20" i="34"/>
  <c r="I29" i="34"/>
  <c r="J29" i="34" s="1"/>
  <c r="K29" i="34" s="1"/>
  <c r="L29" i="34" s="1"/>
  <c r="M29" i="34" s="1"/>
  <c r="G29" i="34"/>
  <c r="AJ14" i="34"/>
  <c r="AK14" i="34"/>
  <c r="AL14" i="34" s="1"/>
  <c r="AM14" i="34" s="1"/>
  <c r="AN14" i="34" s="1"/>
  <c r="AO14" i="34" s="1"/>
  <c r="AP14" i="34" s="1"/>
  <c r="AQ14" i="34" s="1"/>
  <c r="F48" i="34"/>
  <c r="E48" i="34"/>
  <c r="T14" i="34"/>
  <c r="T22" i="34"/>
  <c r="U47" i="34"/>
  <c r="T47" i="34"/>
  <c r="V15" i="34"/>
  <c r="AG16" i="34"/>
  <c r="F32" i="34"/>
  <c r="G53" i="34"/>
  <c r="AG15" i="34"/>
  <c r="AH16" i="34"/>
  <c r="AI17" i="34"/>
  <c r="AJ18" i="34"/>
  <c r="T20" i="34"/>
  <c r="D29" i="34"/>
  <c r="U29" i="34"/>
  <c r="T29" i="34"/>
  <c r="F33" i="34"/>
  <c r="E33" i="34"/>
  <c r="D33" i="34"/>
  <c r="W33" i="34"/>
  <c r="X33" i="34" s="1"/>
  <c r="Y33" i="34" s="1"/>
  <c r="Z33" i="34" s="1"/>
  <c r="AA33" i="34" s="1"/>
  <c r="AB33" i="34" s="1"/>
  <c r="AC33" i="34" s="1"/>
  <c r="AK34" i="34"/>
  <c r="AL34" i="34" s="1"/>
  <c r="AM34" i="34" s="1"/>
  <c r="AN34" i="34" s="1"/>
  <c r="AO34" i="34" s="1"/>
  <c r="AP34" i="34" s="1"/>
  <c r="AQ34" i="34" s="1"/>
  <c r="AK43" i="34"/>
  <c r="AL43" i="34" s="1"/>
  <c r="AM43" i="34" s="1"/>
  <c r="AN43" i="34" s="1"/>
  <c r="AO43" i="34" s="1"/>
  <c r="U45" i="34"/>
  <c r="F46" i="34"/>
  <c r="E46" i="34"/>
  <c r="AJ49" i="34"/>
  <c r="W50" i="34"/>
  <c r="X50" i="34" s="1"/>
  <c r="Y50" i="34" s="1"/>
  <c r="Z50" i="34" s="1"/>
  <c r="AA50" i="34" s="1"/>
  <c r="F52" i="34"/>
  <c r="E52" i="34"/>
  <c r="AG17" i="34"/>
  <c r="AJ20" i="34"/>
  <c r="E32" i="34"/>
  <c r="T33" i="34"/>
  <c r="AH15" i="34"/>
  <c r="AI28" i="34"/>
  <c r="AH28" i="34"/>
  <c r="AG28" i="34"/>
  <c r="E29" i="34"/>
  <c r="U34" i="34"/>
  <c r="T34" i="34"/>
  <c r="W36" i="34"/>
  <c r="X36" i="34" s="1"/>
  <c r="Y36" i="34" s="1"/>
  <c r="Z36" i="34" s="1"/>
  <c r="AA36" i="34" s="1"/>
  <c r="AB36" i="34" s="1"/>
  <c r="AC36" i="34" s="1"/>
  <c r="V36" i="34"/>
  <c r="F51" i="34"/>
  <c r="E51" i="34"/>
  <c r="F30" i="34"/>
  <c r="E30" i="34"/>
  <c r="AI35" i="34"/>
  <c r="AG35" i="34"/>
  <c r="G37" i="34"/>
  <c r="AK44" i="34"/>
  <c r="AL44" i="34" s="1"/>
  <c r="AM44" i="34" s="1"/>
  <c r="AN44" i="34" s="1"/>
  <c r="AO44" i="34" s="1"/>
  <c r="AP44" i="34" s="1"/>
  <c r="AQ44" i="34" s="1"/>
  <c r="AJ44" i="34"/>
  <c r="W16" i="34"/>
  <c r="X16" i="34" s="1"/>
  <c r="Y16" i="34" s="1"/>
  <c r="Z16" i="34" s="1"/>
  <c r="AA16" i="34" s="1"/>
  <c r="AB16" i="34" s="1"/>
  <c r="AC16" i="34" s="1"/>
  <c r="S45" i="34"/>
  <c r="S47" i="34"/>
  <c r="W51" i="34"/>
  <c r="X51" i="34" s="1"/>
  <c r="Y51" i="34" s="1"/>
  <c r="Z51" i="34" s="1"/>
  <c r="AA51" i="34" s="1"/>
  <c r="T18" i="34"/>
  <c r="T28" i="34"/>
  <c r="AK30" i="34"/>
  <c r="AL30" i="34" s="1"/>
  <c r="AM30" i="34" s="1"/>
  <c r="AN30" i="34" s="1"/>
  <c r="AO30" i="34" s="1"/>
  <c r="AP30" i="34" s="1"/>
  <c r="AQ30" i="34" s="1"/>
  <c r="AJ30" i="34"/>
  <c r="W31" i="34"/>
  <c r="X31" i="34" s="1"/>
  <c r="Y31" i="34" s="1"/>
  <c r="Z31" i="34" s="1"/>
  <c r="AA31" i="34" s="1"/>
  <c r="AB31" i="34" s="1"/>
  <c r="AC31" i="34" s="1"/>
  <c r="V31" i="34"/>
  <c r="AG32" i="34"/>
  <c r="U43" i="34"/>
  <c r="V48" i="34"/>
  <c r="F50" i="34"/>
  <c r="E50" i="34"/>
  <c r="D51" i="34"/>
  <c r="AH21" i="34"/>
  <c r="AG21" i="34"/>
  <c r="AI22" i="34"/>
  <c r="AH22" i="34"/>
  <c r="W30" i="34"/>
  <c r="X30" i="34" s="1"/>
  <c r="Y30" i="34" s="1"/>
  <c r="Z30" i="34" s="1"/>
  <c r="AA30" i="34" s="1"/>
  <c r="AB30" i="34" s="1"/>
  <c r="AC30" i="34" s="1"/>
  <c r="AB46" i="34"/>
  <c r="AC46" i="34" s="1"/>
  <c r="D48" i="34"/>
  <c r="V21" i="34"/>
  <c r="AG22" i="34"/>
  <c r="AH35" i="34"/>
  <c r="AI46" i="34"/>
  <c r="AH46" i="34"/>
  <c r="T17" i="34"/>
  <c r="V19" i="34"/>
  <c r="AG20" i="34"/>
  <c r="AI32" i="34"/>
  <c r="AI33" i="34"/>
  <c r="AH33" i="34"/>
  <c r="I35" i="34"/>
  <c r="J35" i="34" s="1"/>
  <c r="K35" i="34" s="1"/>
  <c r="L35" i="34" s="1"/>
  <c r="M35" i="34" s="1"/>
  <c r="N35" i="34" s="1"/>
  <c r="O35" i="34" s="1"/>
  <c r="G35" i="34"/>
  <c r="V35" i="34"/>
  <c r="D44" i="34"/>
  <c r="G45" i="34"/>
  <c r="AJ47" i="34"/>
  <c r="U49" i="34"/>
  <c r="T49" i="34"/>
  <c r="D50" i="34"/>
  <c r="F44" i="34"/>
  <c r="AI48" i="34"/>
  <c r="AH48" i="34"/>
  <c r="S49" i="34"/>
  <c r="D37" i="34"/>
  <c r="D43" i="34"/>
  <c r="AG43" i="34"/>
  <c r="S44" i="34"/>
  <c r="D45" i="34"/>
  <c r="AG45" i="34"/>
  <c r="S46" i="34"/>
  <c r="D47" i="34"/>
  <c r="AG47" i="34"/>
  <c r="S48" i="34"/>
  <c r="D49" i="34"/>
  <c r="AG49" i="34"/>
  <c r="S50" i="34"/>
  <c r="S51" i="34"/>
  <c r="S52" i="34"/>
  <c r="D28" i="34"/>
  <c r="AG31" i="34"/>
  <c r="T32" i="34"/>
  <c r="AB32" i="34" s="1"/>
  <c r="AC32" i="34" s="1"/>
  <c r="D36" i="34"/>
  <c r="E37" i="34"/>
  <c r="N37" i="34" s="1"/>
  <c r="O37" i="34" s="1"/>
  <c r="E43" i="34"/>
  <c r="N43" i="34" s="1"/>
  <c r="O43" i="34" s="1"/>
  <c r="AH43" i="34"/>
  <c r="T44" i="34"/>
  <c r="AB44" i="34" s="1"/>
  <c r="AC44" i="34" s="1"/>
  <c r="E45" i="34"/>
  <c r="N45" i="34" s="1"/>
  <c r="O45" i="34" s="1"/>
  <c r="AH45" i="34"/>
  <c r="AP45" i="34" s="1"/>
  <c r="AQ45" i="34" s="1"/>
  <c r="T46" i="34"/>
  <c r="E47" i="34"/>
  <c r="N47" i="34" s="1"/>
  <c r="O47" i="34" s="1"/>
  <c r="AH47" i="34"/>
  <c r="AP47" i="34" s="1"/>
  <c r="AQ47" i="34" s="1"/>
  <c r="T48" i="34"/>
  <c r="AB48" i="34" s="1"/>
  <c r="AC48" i="34" s="1"/>
  <c r="E49" i="34"/>
  <c r="N49" i="34" s="1"/>
  <c r="O49" i="34" s="1"/>
  <c r="AH49" i="34"/>
  <c r="AP49" i="34" s="1"/>
  <c r="AQ49" i="34" s="1"/>
  <c r="T50" i="34"/>
  <c r="T51" i="34"/>
  <c r="T52" i="34"/>
  <c r="AB52" i="34" s="1"/>
  <c r="AC52" i="34" s="1"/>
  <c r="AK19" i="34" l="1"/>
  <c r="AL19" i="34" s="1"/>
  <c r="AM19" i="34" s="1"/>
  <c r="AN19" i="34" s="1"/>
  <c r="AO19" i="34" s="1"/>
  <c r="AP19" i="34" s="1"/>
  <c r="AQ19" i="34" s="1"/>
  <c r="AP29" i="34"/>
  <c r="AQ29" i="34" s="1"/>
  <c r="G30" i="34"/>
  <c r="I30" i="34"/>
  <c r="J30" i="34" s="1"/>
  <c r="K30" i="34" s="1"/>
  <c r="L30" i="34" s="1"/>
  <c r="M30" i="34" s="1"/>
  <c r="N30" i="34" s="1"/>
  <c r="O30" i="34" s="1"/>
  <c r="AP43" i="34"/>
  <c r="AQ43" i="34" s="1"/>
  <c r="I32" i="34"/>
  <c r="J32" i="34" s="1"/>
  <c r="K32" i="34" s="1"/>
  <c r="L32" i="34" s="1"/>
  <c r="M32" i="34" s="1"/>
  <c r="N32" i="34" s="1"/>
  <c r="O32" i="34" s="1"/>
  <c r="G32" i="34"/>
  <c r="I48" i="34"/>
  <c r="J48" i="34" s="1"/>
  <c r="K48" i="34" s="1"/>
  <c r="L48" i="34" s="1"/>
  <c r="M48" i="34" s="1"/>
  <c r="N48" i="34" s="1"/>
  <c r="O48" i="34" s="1"/>
  <c r="G48" i="34"/>
  <c r="V23" i="34"/>
  <c r="BB10" i="34" s="1"/>
  <c r="V24" i="34"/>
  <c r="BC10" i="34" s="1"/>
  <c r="AB20" i="34"/>
  <c r="AC20" i="34" s="1"/>
  <c r="AK28" i="34"/>
  <c r="AL28" i="34" s="1"/>
  <c r="AM28" i="34" s="1"/>
  <c r="AN28" i="34" s="1"/>
  <c r="AO28" i="34" s="1"/>
  <c r="AP28" i="34" s="1"/>
  <c r="AQ28" i="34" s="1"/>
  <c r="AJ28" i="34"/>
  <c r="I44" i="34"/>
  <c r="J44" i="34" s="1"/>
  <c r="K44" i="34" s="1"/>
  <c r="L44" i="34" s="1"/>
  <c r="M44" i="34" s="1"/>
  <c r="N44" i="34" s="1"/>
  <c r="O44" i="34" s="1"/>
  <c r="G44" i="34"/>
  <c r="I50" i="34"/>
  <c r="J50" i="34" s="1"/>
  <c r="K50" i="34" s="1"/>
  <c r="L50" i="34" s="1"/>
  <c r="M50" i="34" s="1"/>
  <c r="N50" i="34" s="1"/>
  <c r="O50" i="34" s="1"/>
  <c r="G50" i="34"/>
  <c r="AB50" i="34"/>
  <c r="AC50" i="34" s="1"/>
  <c r="AK48" i="34"/>
  <c r="AL48" i="34" s="1"/>
  <c r="AM48" i="34" s="1"/>
  <c r="AN48" i="34" s="1"/>
  <c r="AO48" i="34" s="1"/>
  <c r="AP48" i="34" s="1"/>
  <c r="AQ48" i="34" s="1"/>
  <c r="AJ48" i="34"/>
  <c r="AK46" i="34"/>
  <c r="AL46" i="34" s="1"/>
  <c r="AM46" i="34" s="1"/>
  <c r="AN46" i="34" s="1"/>
  <c r="AO46" i="34" s="1"/>
  <c r="AP46" i="34" s="1"/>
  <c r="AQ46" i="34" s="1"/>
  <c r="AJ46" i="34"/>
  <c r="AK17" i="34"/>
  <c r="AL17" i="34" s="1"/>
  <c r="AM17" i="34" s="1"/>
  <c r="AN17" i="34" s="1"/>
  <c r="AO17" i="34" s="1"/>
  <c r="AP17" i="34" s="1"/>
  <c r="AQ17" i="34" s="1"/>
  <c r="AJ17" i="34"/>
  <c r="W47" i="34"/>
  <c r="X47" i="34" s="1"/>
  <c r="Y47" i="34" s="1"/>
  <c r="Z47" i="34" s="1"/>
  <c r="AA47" i="34" s="1"/>
  <c r="AB47" i="34" s="1"/>
  <c r="AC47" i="34" s="1"/>
  <c r="V47" i="34"/>
  <c r="AB17" i="34"/>
  <c r="AC17" i="34" s="1"/>
  <c r="O54" i="34"/>
  <c r="O53" i="34"/>
  <c r="W43" i="34"/>
  <c r="X43" i="34" s="1"/>
  <c r="Y43" i="34" s="1"/>
  <c r="Z43" i="34" s="1"/>
  <c r="AA43" i="34" s="1"/>
  <c r="AB43" i="34" s="1"/>
  <c r="AC43" i="34" s="1"/>
  <c r="V43" i="34"/>
  <c r="AB51" i="34"/>
  <c r="AC51" i="34" s="1"/>
  <c r="AC53" i="34" s="1"/>
  <c r="I33" i="34"/>
  <c r="J33" i="34" s="1"/>
  <c r="K33" i="34" s="1"/>
  <c r="L33" i="34" s="1"/>
  <c r="M33" i="34" s="1"/>
  <c r="N33" i="34" s="1"/>
  <c r="O33" i="34" s="1"/>
  <c r="G33" i="34"/>
  <c r="I51" i="34"/>
  <c r="J51" i="34" s="1"/>
  <c r="K51" i="34" s="1"/>
  <c r="L51" i="34" s="1"/>
  <c r="M51" i="34" s="1"/>
  <c r="N51" i="34" s="1"/>
  <c r="O51" i="34" s="1"/>
  <c r="G51" i="34"/>
  <c r="I52" i="34"/>
  <c r="J52" i="34" s="1"/>
  <c r="K52" i="34" s="1"/>
  <c r="L52" i="34" s="1"/>
  <c r="M52" i="34" s="1"/>
  <c r="N52" i="34" s="1"/>
  <c r="O52" i="34" s="1"/>
  <c r="G52" i="34"/>
  <c r="W49" i="34"/>
  <c r="X49" i="34" s="1"/>
  <c r="Y49" i="34" s="1"/>
  <c r="Z49" i="34" s="1"/>
  <c r="AA49" i="34" s="1"/>
  <c r="AB49" i="34" s="1"/>
  <c r="AC49" i="34" s="1"/>
  <c r="V49" i="34"/>
  <c r="V54" i="34" s="1"/>
  <c r="BC16" i="34" s="1"/>
  <c r="AJ33" i="34"/>
  <c r="AK33" i="34"/>
  <c r="AL33" i="34" s="1"/>
  <c r="AM33" i="34" s="1"/>
  <c r="AN33" i="34" s="1"/>
  <c r="AO33" i="34" s="1"/>
  <c r="AP33" i="34" s="1"/>
  <c r="AQ33" i="34" s="1"/>
  <c r="AK22" i="34"/>
  <c r="AL22" i="34" s="1"/>
  <c r="AM22" i="34" s="1"/>
  <c r="AN22" i="34" s="1"/>
  <c r="AO22" i="34" s="1"/>
  <c r="AP22" i="34" s="1"/>
  <c r="AQ22" i="34" s="1"/>
  <c r="AJ22" i="34"/>
  <c r="AJ23" i="34" s="1"/>
  <c r="BB9" i="34" s="1"/>
  <c r="AK35" i="34"/>
  <c r="AL35" i="34" s="1"/>
  <c r="AM35" i="34" s="1"/>
  <c r="AN35" i="34" s="1"/>
  <c r="AO35" i="34" s="1"/>
  <c r="AP35" i="34" s="1"/>
  <c r="AQ35" i="34" s="1"/>
  <c r="AQ39" i="34" s="1"/>
  <c r="AJ35" i="34"/>
  <c r="W34" i="34"/>
  <c r="X34" i="34" s="1"/>
  <c r="Y34" i="34" s="1"/>
  <c r="Z34" i="34" s="1"/>
  <c r="AA34" i="34" s="1"/>
  <c r="AB34" i="34" s="1"/>
  <c r="AC34" i="34" s="1"/>
  <c r="V34" i="34"/>
  <c r="I46" i="34"/>
  <c r="J46" i="34" s="1"/>
  <c r="K46" i="34" s="1"/>
  <c r="L46" i="34" s="1"/>
  <c r="M46" i="34" s="1"/>
  <c r="N46" i="34" s="1"/>
  <c r="O46" i="34" s="1"/>
  <c r="G46" i="34"/>
  <c r="AB22" i="34"/>
  <c r="AC22" i="34" s="1"/>
  <c r="AB28" i="34"/>
  <c r="AC28" i="34" s="1"/>
  <c r="AK32" i="34"/>
  <c r="AL32" i="34" s="1"/>
  <c r="AM32" i="34" s="1"/>
  <c r="AN32" i="34" s="1"/>
  <c r="AO32" i="34" s="1"/>
  <c r="AP32" i="34" s="1"/>
  <c r="AQ32" i="34" s="1"/>
  <c r="AJ32" i="34"/>
  <c r="W45" i="34"/>
  <c r="X45" i="34" s="1"/>
  <c r="Y45" i="34" s="1"/>
  <c r="Z45" i="34" s="1"/>
  <c r="AA45" i="34" s="1"/>
  <c r="AB45" i="34" s="1"/>
  <c r="AC45" i="34" s="1"/>
  <c r="V45" i="34"/>
  <c r="V29" i="34"/>
  <c r="W29" i="34"/>
  <c r="X29" i="34" s="1"/>
  <c r="Y29" i="34" s="1"/>
  <c r="Z29" i="34" s="1"/>
  <c r="AA29" i="34" s="1"/>
  <c r="AB29" i="34" s="1"/>
  <c r="AC29" i="34" s="1"/>
  <c r="N29" i="34"/>
  <c r="O29" i="34" s="1"/>
  <c r="AP21" i="34"/>
  <c r="AQ21" i="34" s="1"/>
  <c r="AB18" i="34"/>
  <c r="AC18" i="34" s="1"/>
  <c r="AP16" i="34"/>
  <c r="AQ16" i="34" s="1"/>
  <c r="AJ24" i="34" l="1"/>
  <c r="BC9" i="34" s="1"/>
  <c r="AQ24" i="34"/>
  <c r="AQ23" i="34"/>
  <c r="AJ54" i="34"/>
  <c r="BC15" i="34" s="1"/>
  <c r="AJ53" i="34"/>
  <c r="BB15" i="34" s="1"/>
  <c r="AC24" i="34"/>
  <c r="AC23" i="34"/>
  <c r="AQ54" i="34"/>
  <c r="AQ53" i="34"/>
  <c r="AQ38" i="34"/>
  <c r="V39" i="34"/>
  <c r="BC13" i="34" s="1"/>
  <c r="V38" i="34"/>
  <c r="BB13" i="34" s="1"/>
  <c r="AC39" i="34"/>
  <c r="AC38" i="34"/>
  <c r="AC54" i="34"/>
  <c r="AJ38" i="34"/>
  <c r="BB12" i="34" s="1"/>
  <c r="AJ39" i="34"/>
  <c r="BC12" i="34" s="1"/>
  <c r="AY11" i="34"/>
  <c r="AY13" i="34"/>
  <c r="AY15" i="34"/>
  <c r="AY10" i="34"/>
  <c r="AY14" i="34"/>
  <c r="AY17" i="34"/>
  <c r="AY16" i="34"/>
  <c r="AY9" i="34"/>
  <c r="AY12" i="34"/>
</calcChain>
</file>

<file path=xl/sharedStrings.xml><?xml version="1.0" encoding="utf-8"?>
<sst xmlns="http://schemas.openxmlformats.org/spreadsheetml/2006/main" count="445" uniqueCount="100">
  <si>
    <t>Volumen tubo</t>
  </si>
  <si>
    <t>Longitud</t>
  </si>
  <si>
    <t>aceleración gravedad</t>
  </si>
  <si>
    <t>Diámetro</t>
  </si>
  <si>
    <t>Área</t>
  </si>
  <si>
    <t>viscosidad cinemática a 20º</t>
  </si>
  <si>
    <t>Sin Tornillos</t>
  </si>
  <si>
    <t>El diámetro interior de las tuberías el normalizado. Son tuberías PN10.</t>
  </si>
  <si>
    <t xml:space="preserve">Q (m3/h) </t>
  </si>
  <si>
    <t>Hf (kPa)</t>
  </si>
  <si>
    <t>Kv</t>
  </si>
  <si>
    <t>La tubería DN250 tiene 540 tornillos y la DN300, 630</t>
  </si>
  <si>
    <t>PN</t>
  </si>
  <si>
    <t>DN</t>
  </si>
  <si>
    <t>Dinterior</t>
  </si>
  <si>
    <t>Nº total tornillos</t>
  </si>
  <si>
    <t>21 tornillos por círculo</t>
  </si>
  <si>
    <t>11 hileras de círculos</t>
  </si>
  <si>
    <t>Volumen tornillos (mm3)</t>
  </si>
  <si>
    <t>%de la luz total</t>
  </si>
  <si>
    <t>%sección circular</t>
  </si>
  <si>
    <t>PN16</t>
  </si>
  <si>
    <t>Características de los tornillos</t>
  </si>
  <si>
    <t>% tornillos</t>
  </si>
  <si>
    <t>depth (mm)</t>
  </si>
  <si>
    <t>mm3</t>
  </si>
  <si>
    <t>No total de tornillos</t>
  </si>
  <si>
    <t>Tornillos por círcunferencia</t>
  </si>
  <si>
    <t>25%_Tornillos 20 mm</t>
  </si>
  <si>
    <t>25%_Tornillos 30 mm</t>
  </si>
  <si>
    <t>25%_Tornillos 40 mm</t>
  </si>
  <si>
    <t xml:space="preserve">número de secciones con tornillos </t>
  </si>
  <si>
    <t>Diámetro tornillo rosca</t>
  </si>
  <si>
    <t>mm</t>
  </si>
  <si>
    <t>Diámetro interior tubería</t>
  </si>
  <si>
    <t>Circunferencia</t>
  </si>
  <si>
    <t>Distancia entre tornillos</t>
  </si>
  <si>
    <t>área tornillo rosca</t>
  </si>
  <si>
    <t>mm2</t>
  </si>
  <si>
    <t>m2</t>
  </si>
  <si>
    <t>Area todos</t>
  </si>
  <si>
    <t>50%_Tornillos 20 mm</t>
  </si>
  <si>
    <t>50%_Tornillos 30 mm</t>
  </si>
  <si>
    <t>50%_Tornillos 40 mm</t>
  </si>
  <si>
    <t>Volumen Todos a 40mm</t>
  </si>
  <si>
    <t>m3</t>
  </si>
  <si>
    <t>%Volumen respecto al total</t>
  </si>
  <si>
    <t>% de tornillos respecto a los 540</t>
  </si>
  <si>
    <t xml:space="preserve">Volumen todos a 30mm </t>
  </si>
  <si>
    <t>Profundidad tornillos (m)</t>
  </si>
  <si>
    <t>Volumen todos a 20mm</t>
  </si>
  <si>
    <t>Volumen tornillos m3</t>
  </si>
  <si>
    <t>75%_Tornillos 20 mm</t>
  </si>
  <si>
    <t>75%_Tornillos 30 mm</t>
  </si>
  <si>
    <t>75%_Tornillos 40 mm</t>
  </si>
  <si>
    <t>V (m/s)</t>
  </si>
  <si>
    <t>Re</t>
  </si>
  <si>
    <t>f</t>
  </si>
  <si>
    <t>Ecuación de Hazzen Williams. C factor de fricción. solo es válido para tuberías de fundición y acero.Tuberías con velocidades &lt; 3m/s. Régimen laminar</t>
  </si>
  <si>
    <t>Ecuación de Darcy Weisbach</t>
  </si>
  <si>
    <t>h=f*L/D*(v^2)/(2*g)</t>
  </si>
  <si>
    <t>f^0.5</t>
  </si>
  <si>
    <t>1/f^0.5</t>
  </si>
  <si>
    <t>10^(1/f^0.5)</t>
  </si>
  <si>
    <t>(1/10^(1/f^0.5))^0.5</t>
  </si>
  <si>
    <t>(1/10^(1/f^0.5))</t>
  </si>
  <si>
    <t>(1/10^(1/f^0.5))^0.5-(2.51/(Re*f^0.5))</t>
  </si>
  <si>
    <t>Rugosidad absoluta (mm)</t>
  </si>
  <si>
    <t>Promedio</t>
  </si>
  <si>
    <t>DE</t>
  </si>
  <si>
    <t>Para este trabajo se utilizará la fórmula siguiente para obtener la rugosidad absoluta, e,</t>
  </si>
  <si>
    <t>x</t>
  </si>
  <si>
    <t>2ª Karmann Prand</t>
  </si>
  <si>
    <t>Colebrook</t>
  </si>
  <si>
    <t>Rugosidad abso (mm)</t>
  </si>
  <si>
    <t>%volume occupied</t>
  </si>
  <si>
    <t>Average</t>
  </si>
  <si>
    <t>SD</t>
  </si>
  <si>
    <t>Absolute Roughness</t>
  </si>
  <si>
    <t>Max</t>
  </si>
  <si>
    <t>Min</t>
  </si>
  <si>
    <t>Velocidades (m/s)</t>
  </si>
  <si>
    <t>Régimen turbulento liso: Re &gt; 10000</t>
  </si>
  <si>
    <t>Régimen turbulento intermedio: 10000 &lt; Re &lt; 50000</t>
  </si>
  <si>
    <t>Régimen turbulento rugoso: Re &gt; 50000</t>
  </si>
  <si>
    <t>Rugosidad Relativa</t>
  </si>
  <si>
    <t>Tornillos por circunferencia (contados de las fotos)</t>
  </si>
  <si>
    <t>Es un hecho demostrado que la rugosidad relativa no influye sobre f en régimen laminar (Re &lt; 2000), ya que el rozamiento se debe fundamentalmente a la fricción de unas capas de fluido sobre otras y no de éstas sobre las paredes de la tubería. Sin embargo, para Re &gt; 2000 las cosas cambian y la rugosidad relativa adquiere notable importancia.</t>
  </si>
  <si>
    <t>Hf/V</t>
  </si>
  <si>
    <t>DIAMETRO 250</t>
  </si>
  <si>
    <t>Número de tornillos</t>
  </si>
  <si>
    <t>TOTAL</t>
  </si>
  <si>
    <t>calculado</t>
  </si>
  <si>
    <t>Durante la realización de estos ensayos los equipos de medida de presión diferencial no estaban bien.</t>
  </si>
  <si>
    <t>Estos ensayos se repitieron una vez revisados los equipos de medida de presión diferencial</t>
  </si>
  <si>
    <t>DN250 PN10</t>
  </si>
  <si>
    <t>Volumen tornillos (dm3)</t>
  </si>
  <si>
    <t>Circunferencia interior</t>
  </si>
  <si>
    <t>%</t>
  </si>
  <si>
    <t>Rugosidad Absoluta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</si>
</sst>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64" formatCode="0.0"/>
    <numFmt numFmtId="165" formatCode="0.000000"/>
    <numFmt numFmtId="166" formatCode="0.000"/>
    <numFmt numFmtId="167" formatCode="0.0000"/>
    <numFmt numFmtId="168" formatCode="0.0000000000"/>
  </numFmts>
  <fonts count="1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 Light"/>
      <family val="2"/>
      <scheme val="major"/>
    </font>
    <font>
      <b/>
      <sz val="10"/>
      <color theme="1"/>
      <name val="Calibri"/>
      <family val="2"/>
      <scheme val="minor"/>
    </font>
    <font>
      <sz val="11"/>
      <color rgb="FF1F497D"/>
      <name val="Calibri Light"/>
      <family val="2"/>
    </font>
    <font>
      <b/>
      <sz val="10"/>
      <name val="Calibri"/>
      <family val="2"/>
      <scheme val="minor"/>
    </font>
    <font>
      <b/>
      <sz val="12"/>
      <color theme="1"/>
      <name val="Calibri Light"/>
      <family val="2"/>
      <scheme val="major"/>
    </font>
    <font>
      <sz val="10"/>
      <name val="Arial"/>
      <family val="2"/>
      <charset val="1"/>
    </font>
    <font>
      <b/>
      <sz val="10"/>
      <color theme="1"/>
      <name val="Calibri Light"/>
      <family val="2"/>
      <scheme val="maj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 Light"/>
      <family val="2"/>
      <scheme val="major"/>
    </font>
    <font>
      <sz val="12"/>
      <name val="Arial"/>
      <family val="2"/>
      <charset val="1"/>
    </font>
    <font>
      <sz val="12"/>
      <color rgb="FF374151"/>
      <name val="Segoe UI"/>
      <family val="2"/>
    </font>
    <font>
      <sz val="10"/>
      <color rgb="FFFF0000"/>
      <name val="Calibri Light"/>
      <family val="2"/>
      <scheme val="major"/>
    </font>
  </fonts>
  <fills count="8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7" fillId="0" borderId="0"/>
  </cellStyleXfs>
  <cellXfs count="89">
    <xf numFmtId="0" fontId="0" fillId="0" borderId="0" xfId="0"/>
    <xf numFmtId="0" fontId="2" fillId="0" borderId="0" xfId="0" applyFont="1"/>
    <xf numFmtId="0" fontId="4" fillId="0" borderId="0" xfId="0" applyFont="1"/>
    <xf numFmtId="0" fontId="5" fillId="3" borderId="1" xfId="0" applyFont="1" applyFill="1" applyBorder="1" applyAlignment="1" applyProtection="1">
      <alignment horizontal="center" vertical="center"/>
    </xf>
    <xf numFmtId="0" fontId="5" fillId="3" borderId="1" xfId="0" applyFont="1" applyFill="1" applyBorder="1" applyAlignment="1" applyProtection="1">
      <alignment horizontal="center" vertical="center" wrapText="1"/>
    </xf>
    <xf numFmtId="2" fontId="2" fillId="0" borderId="1" xfId="0" applyNumberFormat="1" applyFont="1" applyBorder="1" applyAlignment="1">
      <alignment horizontal="center"/>
    </xf>
    <xf numFmtId="0" fontId="2" fillId="4" borderId="0" xfId="0" applyFont="1" applyFill="1"/>
    <xf numFmtId="1" fontId="0" fillId="0" borderId="0" xfId="0" applyNumberFormat="1"/>
    <xf numFmtId="2" fontId="0" fillId="0" borderId="0" xfId="0" applyNumberFormat="1"/>
    <xf numFmtId="164" fontId="0" fillId="0" borderId="0" xfId="0" applyNumberFormat="1"/>
    <xf numFmtId="1" fontId="0" fillId="0" borderId="0" xfId="1" applyNumberFormat="1" applyFont="1"/>
    <xf numFmtId="0" fontId="0" fillId="4" borderId="0" xfId="0" applyFill="1"/>
    <xf numFmtId="0" fontId="6" fillId="0" borderId="0" xfId="0" applyFont="1"/>
    <xf numFmtId="165" fontId="6" fillId="0" borderId="0" xfId="0" applyNumberFormat="1" applyFont="1"/>
    <xf numFmtId="2" fontId="2" fillId="0" borderId="0" xfId="0" applyNumberFormat="1" applyFont="1" applyBorder="1" applyAlignment="1">
      <alignment horizontal="center"/>
    </xf>
    <xf numFmtId="166" fontId="2" fillId="0" borderId="1" xfId="0" applyNumberFormat="1" applyFont="1" applyBorder="1" applyAlignment="1">
      <alignment horizontal="center"/>
    </xf>
    <xf numFmtId="0" fontId="7" fillId="0" borderId="0" xfId="2"/>
    <xf numFmtId="166" fontId="7" fillId="0" borderId="0" xfId="2" applyNumberFormat="1"/>
    <xf numFmtId="0" fontId="3" fillId="2" borderId="0" xfId="0" applyFont="1" applyFill="1" applyBorder="1" applyAlignment="1">
      <alignment horizontal="center"/>
    </xf>
    <xf numFmtId="0" fontId="5" fillId="3" borderId="0" xfId="0" applyFont="1" applyFill="1" applyBorder="1" applyAlignment="1" applyProtection="1">
      <alignment horizontal="center" vertical="center"/>
    </xf>
    <xf numFmtId="0" fontId="8" fillId="0" borderId="0" xfId="0" applyFont="1"/>
    <xf numFmtId="2" fontId="2" fillId="0" borderId="0" xfId="0" applyNumberFormat="1" applyFont="1"/>
    <xf numFmtId="164" fontId="2" fillId="0" borderId="0" xfId="0" applyNumberFormat="1" applyFont="1"/>
    <xf numFmtId="0" fontId="3" fillId="2" borderId="1" xfId="0" applyFont="1" applyFill="1" applyBorder="1" applyAlignment="1">
      <alignment horizontal="center"/>
    </xf>
    <xf numFmtId="1" fontId="2" fillId="0" borderId="1" xfId="0" applyNumberFormat="1" applyFont="1" applyBorder="1" applyAlignment="1">
      <alignment horizontal="center"/>
    </xf>
    <xf numFmtId="167" fontId="2" fillId="0" borderId="1" xfId="0" applyNumberFormat="1" applyFont="1" applyBorder="1" applyAlignment="1">
      <alignment horizontal="center"/>
    </xf>
    <xf numFmtId="0" fontId="0" fillId="0" borderId="0" xfId="0" applyAlignment="1">
      <alignment wrapText="1"/>
    </xf>
    <xf numFmtId="0" fontId="8" fillId="6" borderId="0" xfId="0" applyFont="1" applyFill="1" applyAlignment="1">
      <alignment horizontal="center"/>
    </xf>
    <xf numFmtId="166" fontId="2" fillId="0" borderId="0" xfId="0" applyNumberFormat="1" applyFont="1"/>
    <xf numFmtId="0" fontId="5" fillId="3" borderId="1" xfId="0" applyFont="1" applyFill="1" applyBorder="1" applyAlignment="1" applyProtection="1">
      <alignment horizontal="left" vertical="center"/>
    </xf>
    <xf numFmtId="164" fontId="2" fillId="0" borderId="1" xfId="0" applyNumberFormat="1" applyFont="1" applyBorder="1" applyAlignment="1">
      <alignment horizontal="center"/>
    </xf>
    <xf numFmtId="167" fontId="2" fillId="0" borderId="0" xfId="0" applyNumberFormat="1" applyFont="1" applyBorder="1" applyAlignment="1">
      <alignment horizontal="center"/>
    </xf>
    <xf numFmtId="168" fontId="2" fillId="0" borderId="0" xfId="0" applyNumberFormat="1" applyFont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167" fontId="8" fillId="0" borderId="1" xfId="0" applyNumberFormat="1" applyFont="1" applyBorder="1" applyAlignment="1">
      <alignment horizontal="center"/>
    </xf>
    <xf numFmtId="2" fontId="8" fillId="0" borderId="1" xfId="0" applyNumberFormat="1" applyFont="1" applyBorder="1" applyAlignment="1">
      <alignment horizontal="center"/>
    </xf>
    <xf numFmtId="164" fontId="8" fillId="0" borderId="1" xfId="0" applyNumberFormat="1" applyFont="1" applyBorder="1" applyAlignment="1">
      <alignment horizontal="center"/>
    </xf>
    <xf numFmtId="2" fontId="8" fillId="0" borderId="0" xfId="0" applyNumberFormat="1" applyFont="1"/>
    <xf numFmtId="166" fontId="8" fillId="0" borderId="1" xfId="0" applyNumberFormat="1" applyFont="1" applyBorder="1" applyAlignment="1">
      <alignment horizontal="center"/>
    </xf>
    <xf numFmtId="164" fontId="8" fillId="0" borderId="0" xfId="0" applyNumberFormat="1" applyFont="1"/>
    <xf numFmtId="166" fontId="8" fillId="0" borderId="0" xfId="0" applyNumberFormat="1" applyFont="1"/>
    <xf numFmtId="167" fontId="2" fillId="0" borderId="0" xfId="0" applyNumberFormat="1" applyFont="1"/>
    <xf numFmtId="9" fontId="11" fillId="0" borderId="0" xfId="0" applyNumberFormat="1" applyFont="1"/>
    <xf numFmtId="0" fontId="11" fillId="0" borderId="0" xfId="0" applyFont="1"/>
    <xf numFmtId="2" fontId="12" fillId="0" borderId="0" xfId="2" applyNumberFormat="1" applyFont="1"/>
    <xf numFmtId="2" fontId="11" fillId="0" borderId="0" xfId="0" applyNumberFormat="1" applyFont="1"/>
    <xf numFmtId="164" fontId="11" fillId="0" borderId="0" xfId="0" applyNumberFormat="1" applyFont="1"/>
    <xf numFmtId="164" fontId="12" fillId="0" borderId="0" xfId="2" applyNumberFormat="1" applyFont="1"/>
    <xf numFmtId="2" fontId="2" fillId="4" borderId="0" xfId="0" applyNumberFormat="1" applyFont="1" applyFill="1"/>
    <xf numFmtId="164" fontId="12" fillId="4" borderId="0" xfId="2" applyNumberFormat="1" applyFont="1" applyFill="1"/>
    <xf numFmtId="2" fontId="8" fillId="4" borderId="0" xfId="0" applyNumberFormat="1" applyFont="1" applyFill="1"/>
    <xf numFmtId="164" fontId="11" fillId="4" borderId="0" xfId="0" applyNumberFormat="1" applyFont="1" applyFill="1"/>
    <xf numFmtId="2" fontId="12" fillId="7" borderId="0" xfId="2" applyNumberFormat="1" applyFont="1" applyFill="1"/>
    <xf numFmtId="164" fontId="12" fillId="7" borderId="0" xfId="2" applyNumberFormat="1" applyFont="1" applyFill="1"/>
    <xf numFmtId="2" fontId="2" fillId="7" borderId="0" xfId="0" applyNumberFormat="1" applyFont="1" applyFill="1"/>
    <xf numFmtId="164" fontId="11" fillId="7" borderId="0" xfId="0" applyNumberFormat="1" applyFont="1" applyFill="1"/>
    <xf numFmtId="166" fontId="2" fillId="4" borderId="0" xfId="0" applyNumberFormat="1" applyFont="1" applyFill="1"/>
    <xf numFmtId="0" fontId="13" fillId="0" borderId="0" xfId="0" applyFont="1" applyAlignment="1">
      <alignment horizontal="left" vertical="center" indent="1"/>
    </xf>
    <xf numFmtId="0" fontId="2" fillId="0" borderId="0" xfId="0" applyFont="1" applyFill="1"/>
    <xf numFmtId="2" fontId="14" fillId="0" borderId="1" xfId="0" applyNumberFormat="1" applyFont="1" applyBorder="1" applyAlignment="1">
      <alignment horizontal="center"/>
    </xf>
    <xf numFmtId="2" fontId="14" fillId="4" borderId="1" xfId="0" applyNumberFormat="1" applyFont="1" applyFill="1" applyBorder="1" applyAlignment="1">
      <alignment horizontal="center"/>
    </xf>
    <xf numFmtId="9" fontId="0" fillId="0" borderId="0" xfId="0" applyNumberFormat="1"/>
    <xf numFmtId="0" fontId="3" fillId="2" borderId="1" xfId="0" applyFont="1" applyFill="1" applyBorder="1" applyAlignment="1">
      <alignment horizontal="center"/>
    </xf>
    <xf numFmtId="2" fontId="0" fillId="0" borderId="0" xfId="1" applyNumberFormat="1" applyFont="1"/>
    <xf numFmtId="0" fontId="8" fillId="0" borderId="0" xfId="0" applyFont="1" applyFill="1"/>
    <xf numFmtId="0" fontId="6" fillId="0" borderId="0" xfId="0" applyFont="1" applyFill="1"/>
    <xf numFmtId="9" fontId="11" fillId="0" borderId="0" xfId="0" applyNumberFormat="1" applyFont="1" applyFill="1"/>
    <xf numFmtId="0" fontId="11" fillId="0" borderId="0" xfId="0" applyFont="1" applyFill="1"/>
    <xf numFmtId="2" fontId="11" fillId="0" borderId="0" xfId="0" applyNumberFormat="1" applyFont="1" applyFill="1"/>
    <xf numFmtId="164" fontId="11" fillId="0" borderId="0" xfId="0" applyNumberFormat="1" applyFont="1" applyFill="1"/>
    <xf numFmtId="2" fontId="2" fillId="0" borderId="0" xfId="0" applyNumberFormat="1" applyFont="1" applyFill="1"/>
    <xf numFmtId="164" fontId="2" fillId="0" borderId="0" xfId="0" applyNumberFormat="1" applyFont="1" applyFill="1"/>
    <xf numFmtId="0" fontId="7" fillId="0" borderId="0" xfId="2" applyFill="1"/>
    <xf numFmtId="2" fontId="12" fillId="0" borderId="0" xfId="2" applyNumberFormat="1" applyFont="1" applyFill="1"/>
    <xf numFmtId="164" fontId="12" fillId="0" borderId="0" xfId="2" applyNumberFormat="1" applyFont="1" applyFill="1"/>
    <xf numFmtId="167" fontId="2" fillId="0" borderId="0" xfId="0" applyNumberFormat="1" applyFont="1" applyFill="1"/>
    <xf numFmtId="166" fontId="2" fillId="0" borderId="0" xfId="0" applyNumberFormat="1" applyFont="1" applyFill="1"/>
    <xf numFmtId="2" fontId="8" fillId="0" borderId="0" xfId="0" applyNumberFormat="1" applyFont="1" applyFill="1"/>
    <xf numFmtId="166" fontId="8" fillId="0" borderId="0" xfId="0" applyNumberFormat="1" applyFont="1" applyFill="1"/>
    <xf numFmtId="0" fontId="0" fillId="0" borderId="0" xfId="0" applyFill="1"/>
    <xf numFmtId="9" fontId="6" fillId="0" borderId="0" xfId="0" applyNumberFormat="1" applyFont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vertical="center" wrapText="1"/>
    </xf>
    <xf numFmtId="0" fontId="3" fillId="2" borderId="1" xfId="0" applyFont="1" applyFill="1" applyBorder="1" applyAlignment="1">
      <alignment horizontal="center"/>
    </xf>
    <xf numFmtId="9" fontId="3" fillId="5" borderId="1" xfId="0" applyNumberFormat="1" applyFont="1" applyFill="1" applyBorder="1" applyAlignment="1">
      <alignment horizontal="center"/>
    </xf>
    <xf numFmtId="0" fontId="3" fillId="5" borderId="1" xfId="0" applyFont="1" applyFill="1" applyBorder="1" applyAlignment="1">
      <alignment horizontal="center"/>
    </xf>
    <xf numFmtId="9" fontId="6" fillId="0" borderId="0" xfId="0" applyNumberFormat="1" applyFont="1" applyFill="1" applyAlignment="1">
      <alignment horizontal="center" vertical="center" wrapText="1"/>
    </xf>
    <xf numFmtId="0" fontId="8" fillId="0" borderId="0" xfId="0" applyFont="1" applyFill="1" applyAlignment="1">
      <alignment horizontal="center" vertical="center" wrapText="1"/>
    </xf>
  </cellXfs>
  <cellStyles count="3">
    <cellStyle name="Normal" xfId="0" builtinId="0"/>
    <cellStyle name="Normal 2" xfId="2"/>
    <cellStyle name="Porcentaje" xfId="1" builtinId="5"/>
  </cellStyles>
  <dxfs count="0"/>
  <tableStyles count="0" defaultTableStyle="TableStyleMedium2" defaultPivotStyle="PivotStyleLight16"/>
  <colors>
    <mruColors>
      <color rgb="FFED5DE3"/>
      <color rgb="FF74426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chartsheet" Target="chartsheets/sheet2.xml"/><Relationship Id="rId7" Type="http://schemas.openxmlformats.org/officeDocument/2006/relationships/styles" Target="styles.xml"/><Relationship Id="rId2" Type="http://schemas.openxmlformats.org/officeDocument/2006/relationships/chartsheet" Target="chartsheets/sheet1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3.xml"/><Relationship Id="rId4" Type="http://schemas.openxmlformats.org/officeDocument/2006/relationships/worksheet" Target="worksheets/sheet2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'DN250 PN10-Oct2023'!$BB$8</c:f>
              <c:strCache>
                <c:ptCount val="1"/>
                <c:pt idx="0">
                  <c:v>Rugosidad Absoluta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'DN250 PN10-Oct2023'!$AY$9:$AY$17</c:f>
              <c:numCache>
                <c:formatCode>0.00</c:formatCode>
                <c:ptCount val="9"/>
                <c:pt idx="0">
                  <c:v>0.31365661053440491</c:v>
                </c:pt>
                <c:pt idx="1">
                  <c:v>0.2352424579008037</c:v>
                </c:pt>
                <c:pt idx="2">
                  <c:v>0.15682830526720246</c:v>
                </c:pt>
                <c:pt idx="3">
                  <c:v>0.57503711931307577</c:v>
                </c:pt>
                <c:pt idx="4">
                  <c:v>0.4312778394848068</c:v>
                </c:pt>
                <c:pt idx="5">
                  <c:v>0.28751855965653789</c:v>
                </c:pt>
                <c:pt idx="6">
                  <c:v>0.83641762809174658</c:v>
                </c:pt>
                <c:pt idx="7">
                  <c:v>0.62731322106880993</c:v>
                </c:pt>
                <c:pt idx="8">
                  <c:v>0.41820881404587329</c:v>
                </c:pt>
              </c:numCache>
            </c:numRef>
          </c:xVal>
          <c:yVal>
            <c:numRef>
              <c:f>'DN250 PN10-Oct2023'!$BB$9:$BB$17</c:f>
              <c:numCache>
                <c:formatCode>0.00</c:formatCode>
                <c:ptCount val="9"/>
                <c:pt idx="0" formatCode="General">
                  <c:v>55.464823423470321</c:v>
                </c:pt>
                <c:pt idx="1">
                  <c:v>28.294374877910684</c:v>
                </c:pt>
                <c:pt idx="3">
                  <c:v>93.717414740939773</c:v>
                </c:pt>
                <c:pt idx="4">
                  <c:v>57.2851658852356</c:v>
                </c:pt>
                <c:pt idx="6" formatCode="0.0">
                  <c:v>132.50726748277299</c:v>
                </c:pt>
                <c:pt idx="7" formatCode="0.0">
                  <c:v>73.472958199901569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5C8-48B8-9583-B997DD103E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17664512"/>
        <c:axId val="1917652448"/>
      </c:scatterChart>
      <c:valAx>
        <c:axId val="19176645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917652448"/>
        <c:crosses val="autoZero"/>
        <c:crossBetween val="midCat"/>
      </c:valAx>
      <c:valAx>
        <c:axId val="1917652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9176645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34712663639826"/>
          <c:y val="1.7844898152481376E-2"/>
          <c:w val="0.87140222361881425"/>
          <c:h val="0.85266337419380511"/>
        </c:manualLayout>
      </c:layout>
      <c:scatterChart>
        <c:scatterStyle val="lineMarker"/>
        <c:varyColors val="0"/>
        <c:ser>
          <c:idx val="1"/>
          <c:order val="0"/>
          <c:tx>
            <c:v>DN250PN10-25%-30mm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wer"/>
            <c:dispRSqr val="0"/>
            <c:dispEq val="0"/>
          </c:trendline>
          <c:xVal>
            <c:numRef>
              <c:f>'DN250 PN10_Center II-Erróneos'!$R$13:$R$17</c:f>
              <c:numCache>
                <c:formatCode>0.00</c:formatCode>
                <c:ptCount val="5"/>
                <c:pt idx="0">
                  <c:v>0.33858159208176297</c:v>
                </c:pt>
                <c:pt idx="1">
                  <c:v>0.60857956980814543</c:v>
                </c:pt>
                <c:pt idx="2">
                  <c:v>0.8972543048533087</c:v>
                </c:pt>
                <c:pt idx="3">
                  <c:v>1.9746928733598004</c:v>
                </c:pt>
                <c:pt idx="4">
                  <c:v>4.5992652734681156</c:v>
                </c:pt>
              </c:numCache>
            </c:numRef>
          </c:xVal>
          <c:yVal>
            <c:numRef>
              <c:f>'DN250 PN10_Center II-Erróneos'!$AC$13:$AC$17</c:f>
              <c:numCache>
                <c:formatCode>0.00</c:formatCode>
                <c:ptCount val="5"/>
                <c:pt idx="0">
                  <c:v>17.579088963736243</c:v>
                </c:pt>
                <c:pt idx="1">
                  <c:v>16.097459193407197</c:v>
                </c:pt>
                <c:pt idx="2">
                  <c:v>16.377573465334716</c:v>
                </c:pt>
                <c:pt idx="3">
                  <c:v>15.8953070099616</c:v>
                </c:pt>
                <c:pt idx="4">
                  <c:v>15.428862110916683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84E-4CE3-B87E-18BC9936CAF9}"/>
            </c:ext>
          </c:extLst>
        </c:ser>
        <c:ser>
          <c:idx val="4"/>
          <c:order val="1"/>
          <c:tx>
            <c:v>DN250PN10-50%-30mm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'DN250 PN10_Center II-Erróneos'!$R$26:$R$35</c:f>
              <c:numCache>
                <c:formatCode>0.00</c:formatCode>
                <c:ptCount val="10"/>
                <c:pt idx="0">
                  <c:v>0.28524601631434354</c:v>
                </c:pt>
                <c:pt idx="1">
                  <c:v>0.36984358898703418</c:v>
                </c:pt>
                <c:pt idx="2">
                  <c:v>0.65049848866652282</c:v>
                </c:pt>
                <c:pt idx="3">
                  <c:v>0.59223313125223387</c:v>
                </c:pt>
                <c:pt idx="4">
                  <c:v>1.347865830537063</c:v>
                </c:pt>
                <c:pt idx="5">
                  <c:v>1.338672621439934</c:v>
                </c:pt>
                <c:pt idx="6">
                  <c:v>2.2504149819263013</c:v>
                </c:pt>
                <c:pt idx="7">
                  <c:v>2.2494248737587594</c:v>
                </c:pt>
                <c:pt idx="8">
                  <c:v>5.1105271531928427</c:v>
                </c:pt>
                <c:pt idx="9">
                  <c:v>5.1172882628753804</c:v>
                </c:pt>
              </c:numCache>
            </c:numRef>
          </c:xVal>
          <c:yVal>
            <c:numRef>
              <c:f>'DN250 PN10_Center II-Erróneos'!$AC$26:$AC$35</c:f>
              <c:numCache>
                <c:formatCode>0.0</c:formatCode>
                <c:ptCount val="10"/>
                <c:pt idx="0">
                  <c:v>104.07372823274676</c:v>
                </c:pt>
                <c:pt idx="1">
                  <c:v>133.17274216734489</c:v>
                </c:pt>
                <c:pt idx="2">
                  <c:v>51.739012857747198</c:v>
                </c:pt>
                <c:pt idx="3">
                  <c:v>45.488276401803361</c:v>
                </c:pt>
                <c:pt idx="4">
                  <c:v>46.763367392227096</c:v>
                </c:pt>
                <c:pt idx="5">
                  <c:v>47.141576840185323</c:v>
                </c:pt>
                <c:pt idx="6">
                  <c:v>43.09902918291651</c:v>
                </c:pt>
                <c:pt idx="7">
                  <c:v>42.212555934288439</c:v>
                </c:pt>
                <c:pt idx="8">
                  <c:v>42.473489203151374</c:v>
                </c:pt>
                <c:pt idx="9">
                  <c:v>43.119715617444612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A84E-4CE3-B87E-18BC9936CAF9}"/>
            </c:ext>
          </c:extLst>
        </c:ser>
        <c:ser>
          <c:idx val="7"/>
          <c:order val="2"/>
          <c:tx>
            <c:v>DN250PN10-75%-30mm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'DN250 PN10_Center II-Erróneos'!$R$41:$R$50</c:f>
              <c:numCache>
                <c:formatCode>0.00</c:formatCode>
                <c:ptCount val="10"/>
                <c:pt idx="0">
                  <c:v>0.10938393459397333</c:v>
                </c:pt>
                <c:pt idx="1">
                  <c:v>8.2222037633675915E-2</c:v>
                </c:pt>
                <c:pt idx="2">
                  <c:v>0.54379841531219308</c:v>
                </c:pt>
                <c:pt idx="3">
                  <c:v>0.55035791007950685</c:v>
                </c:pt>
                <c:pt idx="4">
                  <c:v>1.547318456258864</c:v>
                </c:pt>
                <c:pt idx="5">
                  <c:v>1.5378544204764519</c:v>
                </c:pt>
                <c:pt idx="6">
                  <c:v>2.718023975383018</c:v>
                </c:pt>
                <c:pt idx="7">
                  <c:v>2.7113065719682168</c:v>
                </c:pt>
                <c:pt idx="8">
                  <c:v>6.3488182242741349</c:v>
                </c:pt>
                <c:pt idx="9">
                  <c:v>6.3458050390601999</c:v>
                </c:pt>
              </c:numCache>
            </c:numRef>
          </c:xVal>
          <c:yVal>
            <c:numRef>
              <c:f>'DN250 PN10_Center II-Erróneos'!$AC$41:$AC$50</c:f>
              <c:numCache>
                <c:formatCode>0.00</c:formatCode>
                <c:ptCount val="10"/>
                <c:pt idx="0">
                  <c:v>28.185432351969578</c:v>
                </c:pt>
                <c:pt idx="1">
                  <c:v>16.664276296627758</c:v>
                </c:pt>
                <c:pt idx="2">
                  <c:v>40.643590509599271</c:v>
                </c:pt>
                <c:pt idx="3">
                  <c:v>41.177262660161361</c:v>
                </c:pt>
                <c:pt idx="4">
                  <c:v>55.005304594795952</c:v>
                </c:pt>
                <c:pt idx="5">
                  <c:v>54.656808005574113</c:v>
                </c:pt>
                <c:pt idx="6">
                  <c:v>56.356207754880941</c:v>
                </c:pt>
                <c:pt idx="7">
                  <c:v>55.012707168960056</c:v>
                </c:pt>
                <c:pt idx="8">
                  <c:v>58.701725019409402</c:v>
                </c:pt>
                <c:pt idx="9">
                  <c:v>58.235103774951995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A84E-4CE3-B87E-18BC9936CAF9}"/>
            </c:ext>
          </c:extLst>
        </c:ser>
        <c:ser>
          <c:idx val="9"/>
          <c:order val="3"/>
          <c:tx>
            <c:v>DN250PN10-25%-30mm-Oct2023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9.4008807126172142E-2"/>
                  <c:y val="4.430926969128216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PN10-Oct2023'!$R$14:$R$22</c:f>
              <c:numCache>
                <c:formatCode>0.00</c:formatCode>
                <c:ptCount val="9"/>
                <c:pt idx="0">
                  <c:v>2.225514</c:v>
                </c:pt>
                <c:pt idx="1">
                  <c:v>2.3376670000000002</c:v>
                </c:pt>
                <c:pt idx="2">
                  <c:v>3.0646339999999999</c:v>
                </c:pt>
                <c:pt idx="3">
                  <c:v>3.734423</c:v>
                </c:pt>
                <c:pt idx="4">
                  <c:v>5.3270411228115169</c:v>
                </c:pt>
                <c:pt idx="5">
                  <c:v>7.6503803552480996</c:v>
                </c:pt>
                <c:pt idx="6">
                  <c:v>11.78109379386753</c:v>
                </c:pt>
                <c:pt idx="7">
                  <c:v>19.738523016933872</c:v>
                </c:pt>
                <c:pt idx="8">
                  <c:v>26.188630704685171</c:v>
                </c:pt>
              </c:numCache>
            </c:numRef>
          </c:xVal>
          <c:yVal>
            <c:numRef>
              <c:f>'DN250 PN10-Oct2023'!$V$14:$V$22</c:f>
              <c:numCache>
                <c:formatCode>0.00</c:formatCode>
                <c:ptCount val="9"/>
                <c:pt idx="0">
                  <c:v>390.43585130797965</c:v>
                </c:pt>
                <c:pt idx="1">
                  <c:v>197.33153661626238</c:v>
                </c:pt>
                <c:pt idx="2">
                  <c:v>123.86647458752695</c:v>
                </c:pt>
                <c:pt idx="3">
                  <c:v>83.092614531852306</c:v>
                </c:pt>
                <c:pt idx="4">
                  <c:v>44.744546414916215</c:v>
                </c:pt>
                <c:pt idx="5">
                  <c:v>36.659386538909025</c:v>
                </c:pt>
                <c:pt idx="6">
                  <c:v>32.47749002443642</c:v>
                </c:pt>
                <c:pt idx="7">
                  <c:v>28.719185557838642</c:v>
                </c:pt>
                <c:pt idx="8">
                  <c:v>27.869564197982726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A84E-4CE3-B87E-18BC9936CAF9}"/>
            </c:ext>
          </c:extLst>
        </c:ser>
        <c:ser>
          <c:idx val="0"/>
          <c:order val="4"/>
          <c:tx>
            <c:v>DN250PN10-50%-30mm-Oct2023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F0"/>
              </a:solidFill>
              <a:ln w="9525">
                <a:solidFill>
                  <a:srgbClr val="00B0F0"/>
                </a:solidFill>
              </a:ln>
              <a:effectLst/>
            </c:spPr>
          </c:marker>
          <c:trendline>
            <c:spPr>
              <a:ln w="19050" cap="rnd">
                <a:solidFill>
                  <a:srgbClr val="00B0F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6.7466850764605388E-2"/>
                  <c:y val="4.642968842752903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PN10-Oct2023'!$R$28:$R$36</c:f>
              <c:numCache>
                <c:formatCode>0.00</c:formatCode>
                <c:ptCount val="9"/>
                <c:pt idx="0">
                  <c:v>2.2641300000000002</c:v>
                </c:pt>
                <c:pt idx="1">
                  <c:v>2.7637909999999999</c:v>
                </c:pt>
                <c:pt idx="2">
                  <c:v>3.6674869999999999</c:v>
                </c:pt>
                <c:pt idx="3">
                  <c:v>4.6617649999999999</c:v>
                </c:pt>
                <c:pt idx="4">
                  <c:v>8.4769103431575523</c:v>
                </c:pt>
                <c:pt idx="5">
                  <c:v>12.197736417344554</c:v>
                </c:pt>
                <c:pt idx="6">
                  <c:v>18.35129053244561</c:v>
                </c:pt>
                <c:pt idx="7">
                  <c:v>29.921858582697563</c:v>
                </c:pt>
                <c:pt idx="8">
                  <c:v>39.145161566643587</c:v>
                </c:pt>
              </c:numCache>
            </c:numRef>
          </c:xVal>
          <c:yVal>
            <c:numRef>
              <c:f>'DN250 PN10-Oct2023'!$V$28:$V$36</c:f>
              <c:numCache>
                <c:formatCode>0.0</c:formatCode>
                <c:ptCount val="9"/>
                <c:pt idx="0">
                  <c:v>398.77369780340075</c:v>
                </c:pt>
                <c:pt idx="1">
                  <c:v>218.92429219611225</c:v>
                </c:pt>
                <c:pt idx="2">
                  <c:v>146.3053655238524</c:v>
                </c:pt>
                <c:pt idx="3">
                  <c:v>105.56054517664354</c:v>
                </c:pt>
                <c:pt idx="4">
                  <c:v>84.487967432788764</c:v>
                </c:pt>
                <c:pt idx="5">
                  <c:v>69.526073648212531</c:v>
                </c:pt>
                <c:pt idx="6">
                  <c:v>60.928539327972636</c:v>
                </c:pt>
                <c:pt idx="7">
                  <c:v>53.641792442498556</c:v>
                </c:pt>
                <c:pt idx="8">
                  <c:v>51.389771753722208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A84E-4CE3-B87E-18BC9936CAF9}"/>
            </c:ext>
          </c:extLst>
        </c:ser>
        <c:ser>
          <c:idx val="2"/>
          <c:order val="5"/>
          <c:tx>
            <c:v>DN250PN10-75%-30mm-Oct2023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ED5DE3"/>
              </a:solidFill>
              <a:ln w="9525">
                <a:solidFill>
                  <a:srgbClr val="ED5DE3"/>
                </a:solidFill>
              </a:ln>
              <a:effectLst/>
            </c:spPr>
          </c:marker>
          <c:trendline>
            <c:spPr>
              <a:ln w="19050" cap="rnd">
                <a:solidFill>
                  <a:srgbClr val="ED5DE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9.1757053481540202E-2"/>
                  <c:y val="4.699946360558995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PN10-Oct2023'!$R$43:$R$52</c:f>
              <c:numCache>
                <c:formatCode>0.00</c:formatCode>
                <c:ptCount val="10"/>
                <c:pt idx="0">
                  <c:v>2.3326820000000001</c:v>
                </c:pt>
                <c:pt idx="1">
                  <c:v>2.7189130000000001</c:v>
                </c:pt>
                <c:pt idx="2">
                  <c:v>3.9806490000000001</c:v>
                </c:pt>
                <c:pt idx="3">
                  <c:v>6.387604795904485</c:v>
                </c:pt>
                <c:pt idx="4">
                  <c:v>10.400239665558715</c:v>
                </c:pt>
                <c:pt idx="5">
                  <c:v>15.321361401316517</c:v>
                </c:pt>
                <c:pt idx="6">
                  <c:v>18.889611797082534</c:v>
                </c:pt>
                <c:pt idx="7">
                  <c:v>23.494225102926503</c:v>
                </c:pt>
                <c:pt idx="8">
                  <c:v>37.954628389099788</c:v>
                </c:pt>
                <c:pt idx="9">
                  <c:v>45.892762584852129</c:v>
                </c:pt>
              </c:numCache>
            </c:numRef>
          </c:xVal>
          <c:yVal>
            <c:numRef>
              <c:f>'DN250 PN10-Oct2023'!$V$43:$V$52</c:f>
              <c:numCache>
                <c:formatCode>0.0</c:formatCode>
                <c:ptCount val="10"/>
                <c:pt idx="0">
                  <c:v>399.73302062930776</c:v>
                </c:pt>
                <c:pt idx="1">
                  <c:v>224.38347688301192</c:v>
                </c:pt>
                <c:pt idx="2">
                  <c:v>149.44555455387354</c:v>
                </c:pt>
                <c:pt idx="3">
                  <c:v>140.35704549797364</c:v>
                </c:pt>
                <c:pt idx="4">
                  <c:v>103.92766777127989</c:v>
                </c:pt>
                <c:pt idx="5">
                  <c:v>89.771032385297957</c:v>
                </c:pt>
                <c:pt idx="6">
                  <c:v>85.159528237984517</c:v>
                </c:pt>
                <c:pt idx="7">
                  <c:v>83.097756804403488</c:v>
                </c:pt>
                <c:pt idx="8">
                  <c:v>74.404924107061547</c:v>
                </c:pt>
                <c:pt idx="9">
                  <c:v>72.540992292741578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A84E-4CE3-B87E-18BC9936CAF9}"/>
            </c:ext>
          </c:extLst>
        </c:ser>
        <c:ser>
          <c:idx val="3"/>
          <c:order val="6"/>
          <c:tx>
            <c:v>DN250PN10-25%-40mm-Oct2023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75000"/>
                </a:schemeClr>
              </a:solidFill>
              <a:ln w="9525">
                <a:solidFill>
                  <a:schemeClr val="accent4">
                    <a:lumMod val="75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4">
                    <a:lumMod val="75000"/>
                  </a:schemeClr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0.1105123892123881"/>
                  <c:y val="2.6793410537732931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PN10-Oct2023'!$AF$14:$AF$22</c:f>
              <c:numCache>
                <c:formatCode>0.00</c:formatCode>
                <c:ptCount val="9"/>
                <c:pt idx="0">
                  <c:v>2.1320350000000001</c:v>
                </c:pt>
                <c:pt idx="1">
                  <c:v>2.7213430000000001</c:v>
                </c:pt>
                <c:pt idx="2">
                  <c:v>3.4760559999999998</c:v>
                </c:pt>
                <c:pt idx="3">
                  <c:v>4.6206779999999998</c:v>
                </c:pt>
                <c:pt idx="4">
                  <c:v>8.6632513196356786</c:v>
                </c:pt>
                <c:pt idx="5">
                  <c:v>12.527511428214694</c:v>
                </c:pt>
                <c:pt idx="6">
                  <c:v>19.12596088554373</c:v>
                </c:pt>
                <c:pt idx="7">
                  <c:v>30.895217730012416</c:v>
                </c:pt>
                <c:pt idx="8">
                  <c:v>40.434249344840929</c:v>
                </c:pt>
              </c:numCache>
            </c:numRef>
          </c:xVal>
          <c:yVal>
            <c:numRef>
              <c:f>'DN250 PN10-Oct2023'!$AJ$14:$AJ$22</c:f>
              <c:numCache>
                <c:formatCode>0.00</c:formatCode>
                <c:ptCount val="9"/>
                <c:pt idx="0">
                  <c:v>366.84536202579113</c:v>
                </c:pt>
                <c:pt idx="1">
                  <c:v>221.75339460706141</c:v>
                </c:pt>
                <c:pt idx="2">
                  <c:v>134.81931599292079</c:v>
                </c:pt>
                <c:pt idx="3">
                  <c:v>103.93694869117714</c:v>
                </c:pt>
                <c:pt idx="4">
                  <c:v>86.003107750822238</c:v>
                </c:pt>
                <c:pt idx="5">
                  <c:v>72.56361656415821</c:v>
                </c:pt>
                <c:pt idx="6">
                  <c:v>64.168245114571661</c:v>
                </c:pt>
                <c:pt idx="7">
                  <c:v>56.800682025405948</c:v>
                </c:pt>
                <c:pt idx="8">
                  <c:v>54.128964821534694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A84E-4CE3-B87E-18BC9936CAF9}"/>
            </c:ext>
          </c:extLst>
        </c:ser>
        <c:ser>
          <c:idx val="5"/>
          <c:order val="7"/>
          <c:tx>
            <c:v>DN250PN10-50%-40mm-Oct2023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0.11943665428934729"/>
                  <c:y val="-1.837635944410990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trendline>
            <c:spPr>
              <a:ln w="19050" cap="rnd">
                <a:solidFill>
                  <a:schemeClr val="accent1">
                    <a:lumMod val="40000"/>
                    <a:lumOff val="60000"/>
                  </a:schemeClr>
                </a:solidFill>
                <a:prstDash val="sysDot"/>
              </a:ln>
              <a:effectLst/>
            </c:spPr>
            <c:trendlineType val="power"/>
            <c:dispRSqr val="0"/>
            <c:dispEq val="0"/>
          </c:trendline>
          <c:xVal>
            <c:numRef>
              <c:f>'DN250 PN10-Oct2023'!$AF$28:$AF$35</c:f>
              <c:numCache>
                <c:formatCode>0.00</c:formatCode>
                <c:ptCount val="8"/>
                <c:pt idx="0">
                  <c:v>2.4067850000000002</c:v>
                </c:pt>
                <c:pt idx="1">
                  <c:v>2.9820099999999998</c:v>
                </c:pt>
                <c:pt idx="2">
                  <c:v>4.4560370000000002</c:v>
                </c:pt>
                <c:pt idx="3">
                  <c:v>6.4219569427198282</c:v>
                </c:pt>
                <c:pt idx="4">
                  <c:v>10.027075836790788</c:v>
                </c:pt>
                <c:pt idx="5">
                  <c:v>17.223571166618814</c:v>
                </c:pt>
                <c:pt idx="6">
                  <c:v>26.639594482964753</c:v>
                </c:pt>
                <c:pt idx="7">
                  <c:v>44.934169632015397</c:v>
                </c:pt>
              </c:numCache>
            </c:numRef>
          </c:xVal>
          <c:yVal>
            <c:numRef>
              <c:f>'DN250 PN10-Oct2023'!$AJ$28:$AJ$35</c:f>
              <c:numCache>
                <c:formatCode>0.0</c:formatCode>
                <c:ptCount val="8"/>
                <c:pt idx="0">
                  <c:v>405.70387792374868</c:v>
                </c:pt>
                <c:pt idx="1">
                  <c:v>229.52293477648763</c:v>
                </c:pt>
                <c:pt idx="2">
                  <c:v>167.98994423988589</c:v>
                </c:pt>
                <c:pt idx="3">
                  <c:v>143.48599269546938</c:v>
                </c:pt>
                <c:pt idx="4">
                  <c:v>118.68347675783168</c:v>
                </c:pt>
                <c:pt idx="5">
                  <c:v>102.02256610712789</c:v>
                </c:pt>
                <c:pt idx="6">
                  <c:v>96.649087349732724</c:v>
                </c:pt>
                <c:pt idx="7">
                  <c:v>90.785742132146822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A84E-4CE3-B87E-18BC9936CAF9}"/>
            </c:ext>
          </c:extLst>
        </c:ser>
        <c:ser>
          <c:idx val="6"/>
          <c:order val="8"/>
          <c:tx>
            <c:v>DN250PN10-75%-40mm-Oct2023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7030A0"/>
              </a:solidFill>
              <a:ln w="9525">
                <a:solidFill>
                  <a:srgbClr val="7030A0"/>
                </a:solidFill>
              </a:ln>
              <a:effectLst/>
            </c:spPr>
          </c:marker>
          <c:trendline>
            <c:spPr>
              <a:ln w="19050" cap="rnd">
                <a:solidFill>
                  <a:srgbClr val="7030A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0.10510089421045798"/>
                  <c:y val="-4.3528192607360282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PN10-Oct2023'!$AF$43:$AF$49</c:f>
              <c:numCache>
                <c:formatCode>0.00</c:formatCode>
                <c:ptCount val="7"/>
                <c:pt idx="0">
                  <c:v>2.6652200000000001</c:v>
                </c:pt>
                <c:pt idx="1">
                  <c:v>3.4934820000000002</c:v>
                </c:pt>
                <c:pt idx="2">
                  <c:v>6.3767565916876903</c:v>
                </c:pt>
                <c:pt idx="3">
                  <c:v>8.55718365523785</c:v>
                </c:pt>
                <c:pt idx="4">
                  <c:v>14.915865905018304</c:v>
                </c:pt>
                <c:pt idx="5">
                  <c:v>23.527286582370735</c:v>
                </c:pt>
                <c:pt idx="6">
                  <c:v>35.811080821020397</c:v>
                </c:pt>
              </c:numCache>
            </c:numRef>
          </c:xVal>
          <c:yVal>
            <c:numRef>
              <c:f>'DN250 PN10-Oct2023'!$AJ$43:$AJ$49</c:f>
              <c:numCache>
                <c:formatCode>0.0</c:formatCode>
                <c:ptCount val="7"/>
                <c:pt idx="0">
                  <c:v>416.13711749055363</c:v>
                </c:pt>
                <c:pt idx="1">
                  <c:v>251.6839884530539</c:v>
                </c:pt>
                <c:pt idx="2">
                  <c:v>220.95964935417621</c:v>
                </c:pt>
                <c:pt idx="3">
                  <c:v>181.80603438778741</c:v>
                </c:pt>
                <c:pt idx="4">
                  <c:v>149.30472845294045</c:v>
                </c:pt>
                <c:pt idx="5">
                  <c:v>135.79873884889875</c:v>
                </c:pt>
                <c:pt idx="6">
                  <c:v>129.21579611664723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E-A84E-4CE3-B87E-18BC9936CA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828368"/>
        <c:axId val="131832112"/>
      </c:scatterChart>
      <c:valAx>
        <c:axId val="131828368"/>
        <c:scaling>
          <c:orientation val="minMax"/>
          <c:max val="50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1"/>
                  <a:t>Hf (kPa)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32112"/>
        <c:crosses val="autoZero"/>
        <c:crossBetween val="midCat"/>
        <c:majorUnit val="5"/>
      </c:valAx>
      <c:valAx>
        <c:axId val="131832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sz="1600" b="1"/>
                  <a:t>Absolute</a:t>
                </a:r>
                <a:r>
                  <a:rPr lang="es-ES" sz="1600" b="1" baseline="0"/>
                  <a:t> roughness (mm)</a:t>
                </a:r>
                <a:endParaRPr lang="es-ES" sz="1600" b="1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283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egendEntry>
        <c:idx val="9"/>
        <c:delete val="1"/>
      </c:legendEntry>
      <c:legendEntry>
        <c:idx val="10"/>
        <c:delete val="1"/>
      </c:legendEntry>
      <c:layout>
        <c:manualLayout>
          <c:xMode val="edge"/>
          <c:yMode val="edge"/>
          <c:x val="0.65735118630545197"/>
          <c:y val="2.8161528714202411E-2"/>
          <c:w val="0.30579841877523861"/>
          <c:h val="0.5148605259427765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687094344715509"/>
          <c:y val="2.2021402028001888E-2"/>
          <c:w val="0.87140222361881425"/>
          <c:h val="0.85266337419380511"/>
        </c:manualLayout>
      </c:layout>
      <c:scatterChart>
        <c:scatterStyle val="lineMarker"/>
        <c:varyColors val="0"/>
        <c:ser>
          <c:idx val="1"/>
          <c:order val="0"/>
          <c:tx>
            <c:v>DN250PN10-25%-30mm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'DN250 PN10_Center II-Erróneos'!$P$13:$P$17</c:f>
              <c:numCache>
                <c:formatCode>0.0000</c:formatCode>
                <c:ptCount val="5"/>
                <c:pt idx="0">
                  <c:v>1.251644065165725</c:v>
                </c:pt>
                <c:pt idx="1">
                  <c:v>1.7164370998879286</c:v>
                </c:pt>
                <c:pt idx="2">
                  <c:v>2.0751540451164177</c:v>
                </c:pt>
                <c:pt idx="3">
                  <c:v>3.102142242855316</c:v>
                </c:pt>
                <c:pt idx="4">
                  <c:v>4.7701364969010438</c:v>
                </c:pt>
              </c:numCache>
            </c:numRef>
          </c:xVal>
          <c:yVal>
            <c:numRef>
              <c:f>'DN250 PN10_Center II-Erróneos'!$AC$13:$AC$17</c:f>
              <c:numCache>
                <c:formatCode>0.00</c:formatCode>
                <c:ptCount val="5"/>
                <c:pt idx="0">
                  <c:v>17.579088963736243</c:v>
                </c:pt>
                <c:pt idx="1">
                  <c:v>16.097459193407197</c:v>
                </c:pt>
                <c:pt idx="2">
                  <c:v>16.377573465334716</c:v>
                </c:pt>
                <c:pt idx="3">
                  <c:v>15.8953070099616</c:v>
                </c:pt>
                <c:pt idx="4">
                  <c:v>15.428862110916683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2A2-4981-A62B-5AC337B547E2}"/>
            </c:ext>
          </c:extLst>
        </c:ser>
        <c:ser>
          <c:idx val="4"/>
          <c:order val="1"/>
          <c:tx>
            <c:v>DN250PN10-50%-30mm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'DN250 PN10_Center II-Erróneos'!$P$26:$P$35</c:f>
              <c:numCache>
                <c:formatCode>0.000</c:formatCode>
                <c:ptCount val="10"/>
                <c:pt idx="0">
                  <c:v>0.620109459658157</c:v>
                </c:pt>
                <c:pt idx="1">
                  <c:v>0.62261032886551015</c:v>
                </c:pt>
                <c:pt idx="2">
                  <c:v>1.2503903649730863</c:v>
                </c:pt>
                <c:pt idx="3">
                  <c:v>1.2482440966234922</c:v>
                </c:pt>
                <c:pt idx="4">
                  <c:v>1.8653304630040488</c:v>
                </c:pt>
                <c:pt idx="5">
                  <c:v>1.8537675718761868</c:v>
                </c:pt>
                <c:pt idx="6">
                  <c:v>2.4784816584621443</c:v>
                </c:pt>
                <c:pt idx="7">
                  <c:v>2.495295130711912</c:v>
                </c:pt>
                <c:pt idx="8">
                  <c:v>3.7534742724203372</c:v>
                </c:pt>
                <c:pt idx="9">
                  <c:v>3.7369317622295197</c:v>
                </c:pt>
              </c:numCache>
            </c:numRef>
          </c:xVal>
          <c:yVal>
            <c:numRef>
              <c:f>'DN250 PN10_Center II-Erróneos'!$AC$26:$AC$35</c:f>
              <c:numCache>
                <c:formatCode>0.0</c:formatCode>
                <c:ptCount val="10"/>
                <c:pt idx="0">
                  <c:v>104.07372823274676</c:v>
                </c:pt>
                <c:pt idx="1">
                  <c:v>133.17274216734489</c:v>
                </c:pt>
                <c:pt idx="2">
                  <c:v>51.739012857747198</c:v>
                </c:pt>
                <c:pt idx="3">
                  <c:v>45.488276401803361</c:v>
                </c:pt>
                <c:pt idx="4">
                  <c:v>46.763367392227096</c:v>
                </c:pt>
                <c:pt idx="5">
                  <c:v>47.141576840185323</c:v>
                </c:pt>
                <c:pt idx="6">
                  <c:v>43.09902918291651</c:v>
                </c:pt>
                <c:pt idx="7">
                  <c:v>42.212555934288439</c:v>
                </c:pt>
                <c:pt idx="8">
                  <c:v>42.473489203151374</c:v>
                </c:pt>
                <c:pt idx="9">
                  <c:v>43.119715617444612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82A2-4981-A62B-5AC337B547E2}"/>
            </c:ext>
          </c:extLst>
        </c:ser>
        <c:ser>
          <c:idx val="7"/>
          <c:order val="2"/>
          <c:tx>
            <c:v>DN250PN10-75%-30mm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'DN250 PN10_Center II-Erróneos'!$P$41:$P$50</c:f>
              <c:numCache>
                <c:formatCode>0.000</c:formatCode>
                <c:ptCount val="10"/>
                <c:pt idx="0">
                  <c:v>0.62442114342120481</c:v>
                </c:pt>
                <c:pt idx="1">
                  <c:v>0.62507649833980383</c:v>
                </c:pt>
                <c:pt idx="2">
                  <c:v>1.2423423770844149</c:v>
                </c:pt>
                <c:pt idx="3">
                  <c:v>1.244425743527467</c:v>
                </c:pt>
                <c:pt idx="4">
                  <c:v>1.8861440817720452</c:v>
                </c:pt>
                <c:pt idx="5">
                  <c:v>1.8847560924496667</c:v>
                </c:pt>
                <c:pt idx="6">
                  <c:v>2.4776065616084932</c:v>
                </c:pt>
                <c:pt idx="7">
                  <c:v>2.4966699866691879</c:v>
                </c:pt>
                <c:pt idx="8">
                  <c:v>3.7294733933109625</c:v>
                </c:pt>
                <c:pt idx="9">
                  <c:v>3.7397858498351471</c:v>
                </c:pt>
              </c:numCache>
            </c:numRef>
          </c:xVal>
          <c:yVal>
            <c:numRef>
              <c:f>'DN250 PN10_Center II-Erróneos'!$AC$41:$AC$50</c:f>
              <c:numCache>
                <c:formatCode>0.00</c:formatCode>
                <c:ptCount val="10"/>
                <c:pt idx="0">
                  <c:v>28.185432351969578</c:v>
                </c:pt>
                <c:pt idx="1">
                  <c:v>16.664276296627758</c:v>
                </c:pt>
                <c:pt idx="2">
                  <c:v>40.643590509599271</c:v>
                </c:pt>
                <c:pt idx="3">
                  <c:v>41.177262660161361</c:v>
                </c:pt>
                <c:pt idx="4">
                  <c:v>55.005304594795952</c:v>
                </c:pt>
                <c:pt idx="5">
                  <c:v>54.656808005574113</c:v>
                </c:pt>
                <c:pt idx="6">
                  <c:v>56.356207754880941</c:v>
                </c:pt>
                <c:pt idx="7">
                  <c:v>55.012707168960056</c:v>
                </c:pt>
                <c:pt idx="8">
                  <c:v>58.701725019409402</c:v>
                </c:pt>
                <c:pt idx="9">
                  <c:v>58.235103774951995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82A2-4981-A62B-5AC337B547E2}"/>
            </c:ext>
          </c:extLst>
        </c:ser>
        <c:ser>
          <c:idx val="0"/>
          <c:order val="3"/>
          <c:tx>
            <c:v>DN250PN10-25%-30 mm- 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9.8108453861027262E-2"/>
                  <c:y val="9.522562932613931E-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PN10-Oct2023'!$P$14:$P$22</c:f>
              <c:numCache>
                <c:formatCode>0.0000</c:formatCode>
                <c:ptCount val="9"/>
                <c:pt idx="0">
                  <c:v>0.63361848702665624</c:v>
                </c:pt>
                <c:pt idx="1">
                  <c:v>1.2305478342964162</c:v>
                </c:pt>
                <c:pt idx="2">
                  <c:v>1.8630588456797617</c:v>
                </c:pt>
                <c:pt idx="3">
                  <c:v>2.4863642190062532</c:v>
                </c:pt>
                <c:pt idx="4">
                  <c:v>3.7653855761277688</c:v>
                </c:pt>
                <c:pt idx="5">
                  <c:v>4.8194671782171241</c:v>
                </c:pt>
                <c:pt idx="6">
                  <c:v>6.2122539664292331</c:v>
                </c:pt>
                <c:pt idx="7">
                  <c:v>8.345420767121789</c:v>
                </c:pt>
                <c:pt idx="8">
                  <c:v>9.6983463886993135</c:v>
                </c:pt>
              </c:numCache>
            </c:numRef>
          </c:xVal>
          <c:yVal>
            <c:numRef>
              <c:f>'DN250 PN10-Oct2023'!$V$14:$V$22</c:f>
              <c:numCache>
                <c:formatCode>0.00</c:formatCode>
                <c:ptCount val="9"/>
                <c:pt idx="0">
                  <c:v>390.43585130797965</c:v>
                </c:pt>
                <c:pt idx="1">
                  <c:v>197.33153661626238</c:v>
                </c:pt>
                <c:pt idx="2">
                  <c:v>123.86647458752695</c:v>
                </c:pt>
                <c:pt idx="3">
                  <c:v>83.092614531852306</c:v>
                </c:pt>
                <c:pt idx="4">
                  <c:v>44.744546414916215</c:v>
                </c:pt>
                <c:pt idx="5">
                  <c:v>36.659386538909025</c:v>
                </c:pt>
                <c:pt idx="6">
                  <c:v>32.47749002443642</c:v>
                </c:pt>
                <c:pt idx="7">
                  <c:v>28.719185557838642</c:v>
                </c:pt>
                <c:pt idx="8">
                  <c:v>27.869564197982726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9F1-4EE1-BF31-D557562B4940}"/>
            </c:ext>
          </c:extLst>
        </c:ser>
        <c:ser>
          <c:idx val="2"/>
          <c:order val="4"/>
          <c:tx>
            <c:v>DN250PN10-50%-30 mm-Oct2023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00B0F0"/>
              </a:solidFill>
              <a:ln w="9525">
                <a:solidFill>
                  <a:srgbClr val="00B0F0"/>
                </a:solidFill>
              </a:ln>
              <a:effectLst/>
            </c:spPr>
          </c:marker>
          <c:trendline>
            <c:spPr>
              <a:ln w="19050" cap="rnd">
                <a:solidFill>
                  <a:srgbClr val="00B0F0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9.8759165850634684E-2"/>
                  <c:y val="-2.510200866716019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PN10-Oct2023'!$P$28:$P$36</c:f>
              <c:numCache>
                <c:formatCode>0.000</c:formatCode>
                <c:ptCount val="9"/>
                <c:pt idx="0">
                  <c:v>0.62138118174973778</c:v>
                </c:pt>
                <c:pt idx="1">
                  <c:v>1.24185014640083</c:v>
                </c:pt>
                <c:pt idx="2">
                  <c:v>1.8604760322852782</c:v>
                </c:pt>
                <c:pt idx="3">
                  <c:v>2.4901351127392748</c:v>
                </c:pt>
                <c:pt idx="4">
                  <c:v>3.719026252807359</c:v>
                </c:pt>
                <c:pt idx="5">
                  <c:v>4.8403646750850937</c:v>
                </c:pt>
                <c:pt idx="6">
                  <c:v>6.2520474007350346</c:v>
                </c:pt>
                <c:pt idx="7">
                  <c:v>8.3714216876196375</c:v>
                </c:pt>
                <c:pt idx="8">
                  <c:v>9.724589210371386</c:v>
                </c:pt>
              </c:numCache>
            </c:numRef>
          </c:xVal>
          <c:yVal>
            <c:numRef>
              <c:f>'DN250 PN10-Oct2023'!$V$28:$V$36</c:f>
              <c:numCache>
                <c:formatCode>0.0</c:formatCode>
                <c:ptCount val="9"/>
                <c:pt idx="0">
                  <c:v>398.77369780340075</c:v>
                </c:pt>
                <c:pt idx="1">
                  <c:v>218.92429219611225</c:v>
                </c:pt>
                <c:pt idx="2">
                  <c:v>146.3053655238524</c:v>
                </c:pt>
                <c:pt idx="3">
                  <c:v>105.56054517664354</c:v>
                </c:pt>
                <c:pt idx="4">
                  <c:v>84.487967432788764</c:v>
                </c:pt>
                <c:pt idx="5">
                  <c:v>69.526073648212531</c:v>
                </c:pt>
                <c:pt idx="6">
                  <c:v>60.928539327972636</c:v>
                </c:pt>
                <c:pt idx="7">
                  <c:v>53.641792442498556</c:v>
                </c:pt>
                <c:pt idx="8">
                  <c:v>51.389771753722208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9F1-4EE1-BF31-D557562B4940}"/>
            </c:ext>
          </c:extLst>
        </c:ser>
        <c:ser>
          <c:idx val="3"/>
          <c:order val="5"/>
          <c:tx>
            <c:v>DN250PN10-75%-30 mm-Oct2023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ED5DE3"/>
              </a:solidFill>
              <a:ln w="9525">
                <a:solidFill>
                  <a:srgbClr val="ED5DE3"/>
                </a:solidFill>
              </a:ln>
              <a:effectLst/>
            </c:spPr>
          </c:marker>
          <c:trendline>
            <c:spPr>
              <a:ln w="19050" cap="rnd">
                <a:solidFill>
                  <a:srgbClr val="ED5DE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0.10119844920986037"/>
                  <c:y val="-4.6057731298301395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PN10-Oct2023'!$P$43:$P$52</c:f>
              <c:numCache>
                <c:formatCode>0.000</c:formatCode>
                <c:ptCount val="10"/>
                <c:pt idx="0">
                  <c:v>0.62867374270380849</c:v>
                </c:pt>
                <c:pt idx="1">
                  <c:v>1.2091033401365847</c:v>
                </c:pt>
                <c:pt idx="2">
                  <c:v>1.9146798651126145</c:v>
                </c:pt>
                <c:pt idx="3">
                  <c:v>2.5137577991214126</c:v>
                </c:pt>
                <c:pt idx="4">
                  <c:v>3.7473749969875914</c:v>
                </c:pt>
                <c:pt idx="5">
                  <c:v>4.8676290108585967</c:v>
                </c:pt>
                <c:pt idx="6">
                  <c:v>5.5324812564308949</c:v>
                </c:pt>
                <c:pt idx="7">
                  <c:v>6.2362270639408877</c:v>
                </c:pt>
                <c:pt idx="8">
                  <c:v>8.3055485421478128</c:v>
                </c:pt>
                <c:pt idx="9">
                  <c:v>9.2286226885942142</c:v>
                </c:pt>
              </c:numCache>
            </c:numRef>
          </c:xVal>
          <c:yVal>
            <c:numRef>
              <c:f>'DN250 PN10-Oct2023'!$V$43:$V$52</c:f>
              <c:numCache>
                <c:formatCode>0.0</c:formatCode>
                <c:ptCount val="10"/>
                <c:pt idx="0">
                  <c:v>399.73302062930776</c:v>
                </c:pt>
                <c:pt idx="1">
                  <c:v>224.38347688301192</c:v>
                </c:pt>
                <c:pt idx="2">
                  <c:v>149.44555455387354</c:v>
                </c:pt>
                <c:pt idx="3">
                  <c:v>140.35704549797364</c:v>
                </c:pt>
                <c:pt idx="4">
                  <c:v>103.92766777127989</c:v>
                </c:pt>
                <c:pt idx="5">
                  <c:v>89.771032385297957</c:v>
                </c:pt>
                <c:pt idx="6">
                  <c:v>85.159528237984517</c:v>
                </c:pt>
                <c:pt idx="7">
                  <c:v>83.097756804403488</c:v>
                </c:pt>
                <c:pt idx="8">
                  <c:v>74.404924107061547</c:v>
                </c:pt>
                <c:pt idx="9">
                  <c:v>72.540992292741578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89F1-4EE1-BF31-D557562B4940}"/>
            </c:ext>
          </c:extLst>
        </c:ser>
        <c:ser>
          <c:idx val="5"/>
          <c:order val="6"/>
          <c:tx>
            <c:v>DN250PN10-25%-40 mm- 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75000"/>
                </a:schemeClr>
              </a:solidFill>
              <a:ln w="9525">
                <a:solidFill>
                  <a:schemeClr val="accent4">
                    <a:lumMod val="75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2.6180330293023506E-2"/>
                  <c:y val="-9.7937200086954442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PN10-Oct2023'!$AD$14:$AD$22</c:f>
              <c:numCache>
                <c:formatCode>0.00</c:formatCode>
                <c:ptCount val="9"/>
                <c:pt idx="0">
                  <c:v>0.67085921273010141</c:v>
                </c:pt>
                <c:pt idx="1">
                  <c:v>1.2204779881407282</c:v>
                </c:pt>
                <c:pt idx="2">
                  <c:v>1.8961813367467197</c:v>
                </c:pt>
                <c:pt idx="3">
                  <c:v>2.4976969434454674</c:v>
                </c:pt>
                <c:pt idx="4">
                  <c:v>3.7305386752617102</c:v>
                </c:pt>
                <c:pt idx="5">
                  <c:v>4.8210519764813888</c:v>
                </c:pt>
                <c:pt idx="6">
                  <c:v>6.2564382526202769</c:v>
                </c:pt>
                <c:pt idx="7">
                  <c:v>8.3293308833049373</c:v>
                </c:pt>
                <c:pt idx="8">
                  <c:v>9.6994729570249785</c:v>
                </c:pt>
              </c:numCache>
            </c:numRef>
          </c:xVal>
          <c:yVal>
            <c:numRef>
              <c:f>'DN250 PN10-Oct2023'!$AJ$14:$AJ$22</c:f>
              <c:numCache>
                <c:formatCode>0.00</c:formatCode>
                <c:ptCount val="9"/>
                <c:pt idx="0">
                  <c:v>366.84536202579113</c:v>
                </c:pt>
                <c:pt idx="1">
                  <c:v>221.75339460706141</c:v>
                </c:pt>
                <c:pt idx="2">
                  <c:v>134.81931599292079</c:v>
                </c:pt>
                <c:pt idx="3">
                  <c:v>103.93694869117714</c:v>
                </c:pt>
                <c:pt idx="4">
                  <c:v>86.003107750822238</c:v>
                </c:pt>
                <c:pt idx="5">
                  <c:v>72.56361656415821</c:v>
                </c:pt>
                <c:pt idx="6">
                  <c:v>64.168245114571661</c:v>
                </c:pt>
                <c:pt idx="7">
                  <c:v>56.800682025405948</c:v>
                </c:pt>
                <c:pt idx="8">
                  <c:v>54.128964821534694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89F1-4EE1-BF31-D557562B4940}"/>
            </c:ext>
          </c:extLst>
        </c:ser>
        <c:ser>
          <c:idx val="6"/>
          <c:order val="7"/>
          <c:tx>
            <c:v>DN250PN10-50%-40 mm- 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chemeClr val="accent1">
                    <a:lumMod val="40000"/>
                    <a:lumOff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>
                    <a:lumMod val="40000"/>
                    <a:lumOff val="60000"/>
                  </a:schemeClr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/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PN10-Oct2023'!$AD$28:$AD$35</c:f>
              <c:numCache>
                <c:formatCode>0.00</c:formatCode>
                <c:ptCount val="8"/>
                <c:pt idx="0">
                  <c:v>0.62576859518800243</c:v>
                </c:pt>
                <c:pt idx="1">
                  <c:v>1.2444687059710406</c:v>
                </c:pt>
                <c:pt idx="2">
                  <c:v>1.888244213647376</c:v>
                </c:pt>
                <c:pt idx="3">
                  <c:v>2.489385219099185</c:v>
                </c:pt>
                <c:pt idx="4">
                  <c:v>3.4453523960701391</c:v>
                </c:pt>
                <c:pt idx="5">
                  <c:v>4.8652127637012219</c:v>
                </c:pt>
                <c:pt idx="6">
                  <c:v>6.2062382297994283</c:v>
                </c:pt>
                <c:pt idx="7">
                  <c:v>8.294020223330584</c:v>
                </c:pt>
              </c:numCache>
            </c:numRef>
          </c:xVal>
          <c:yVal>
            <c:numRef>
              <c:f>'DN250 PN10-Oct2023'!$AJ$28:$AJ$35</c:f>
              <c:numCache>
                <c:formatCode>0.0</c:formatCode>
                <c:ptCount val="8"/>
                <c:pt idx="0">
                  <c:v>405.70387792374868</c:v>
                </c:pt>
                <c:pt idx="1">
                  <c:v>229.52293477648763</c:v>
                </c:pt>
                <c:pt idx="2">
                  <c:v>167.98994423988589</c:v>
                </c:pt>
                <c:pt idx="3">
                  <c:v>143.48599269546938</c:v>
                </c:pt>
                <c:pt idx="4">
                  <c:v>118.68347675783168</c:v>
                </c:pt>
                <c:pt idx="5">
                  <c:v>102.02256610712789</c:v>
                </c:pt>
                <c:pt idx="6">
                  <c:v>96.649087349732724</c:v>
                </c:pt>
                <c:pt idx="7">
                  <c:v>90.785742132146822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89F1-4EE1-BF31-D557562B4940}"/>
            </c:ext>
          </c:extLst>
        </c:ser>
        <c:ser>
          <c:idx val="8"/>
          <c:order val="8"/>
          <c:tx>
            <c:v>DN250PN10-75%-40 mm- Oct2023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7030A0"/>
              </a:solidFill>
              <a:ln w="9525">
                <a:solidFill>
                  <a:srgbClr val="7030A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>
                    <a:lumMod val="60000"/>
                  </a:schemeClr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4.548879808175909E-2"/>
                  <c:y val="-6.2496197387880904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PN10-Oct2023'!$AD$43:$AD$49</c:f>
              <c:numCache>
                <c:formatCode>0.0000</c:formatCode>
                <c:ptCount val="7"/>
                <c:pt idx="0">
                  <c:v>0.63541854866859349</c:v>
                </c:pt>
                <c:pt idx="1">
                  <c:v>1.2510092491332563</c:v>
                </c:pt>
                <c:pt idx="2">
                  <c:v>1.8733078528584599</c:v>
                </c:pt>
                <c:pt idx="3">
                  <c:v>2.4878847406727935</c:v>
                </c:pt>
                <c:pt idx="4">
                  <c:v>3.7083528818544531</c:v>
                </c:pt>
                <c:pt idx="5">
                  <c:v>4.913570881866919</c:v>
                </c:pt>
                <c:pt idx="6">
                  <c:v>6.2276941728067454</c:v>
                </c:pt>
              </c:numCache>
            </c:numRef>
          </c:xVal>
          <c:yVal>
            <c:numRef>
              <c:f>'DN250 PN10-Oct2023'!$AJ$43:$AJ$49</c:f>
              <c:numCache>
                <c:formatCode>0.0</c:formatCode>
                <c:ptCount val="7"/>
                <c:pt idx="0">
                  <c:v>416.13711749055363</c:v>
                </c:pt>
                <c:pt idx="1">
                  <c:v>251.6839884530539</c:v>
                </c:pt>
                <c:pt idx="2">
                  <c:v>220.95964935417621</c:v>
                </c:pt>
                <c:pt idx="3">
                  <c:v>181.80603438778741</c:v>
                </c:pt>
                <c:pt idx="4">
                  <c:v>149.30472845294045</c:v>
                </c:pt>
                <c:pt idx="5">
                  <c:v>135.79873884889875</c:v>
                </c:pt>
                <c:pt idx="6">
                  <c:v>129.21579611664723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89F1-4EE1-BF31-D557562B49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828368"/>
        <c:axId val="131832112"/>
      </c:scatterChart>
      <c:valAx>
        <c:axId val="1318283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1"/>
                  <a:t>Velocity (m s</a:t>
                </a:r>
                <a:r>
                  <a:rPr lang="en-US" sz="1600" b="1" baseline="30000"/>
                  <a:t>-1</a:t>
                </a:r>
                <a:r>
                  <a:rPr lang="en-US" sz="1600" b="1"/>
                  <a:t>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32112"/>
        <c:crosses val="autoZero"/>
        <c:crossBetween val="midCat"/>
        <c:majorUnit val="1"/>
      </c:valAx>
      <c:valAx>
        <c:axId val="131832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sz="1600" b="1"/>
                  <a:t>Absolute</a:t>
                </a:r>
                <a:r>
                  <a:rPr lang="es-ES" sz="1600" b="1" baseline="0"/>
                  <a:t> roughness (mm)</a:t>
                </a:r>
                <a:endParaRPr lang="es-ES" sz="1600" b="1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283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65325594571288803"/>
          <c:y val="3.0249882180688289E-2"/>
          <c:w val="0.29764243446024541"/>
          <c:h val="0.5127573731210163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chart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chartsheets/sheet1.xml><?xml version="1.0" encoding="utf-8"?>
<chartsheet xmlns="http://schemas.openxmlformats.org/spreadsheetml/2006/main" xmlns:r="http://schemas.openxmlformats.org/officeDocument/2006/relationships">
  <sheetPr>
    <tabColor rgb="FFFFC000"/>
  </sheetPr>
  <sheetViews>
    <sheetView zoomScale="104" workbookViewId="0" zoomToFit="1"/>
  </sheetViews>
  <pageMargins left="0.7" right="0.7" top="0.75" bottom="0.75" header="0.3" footer="0.3"/>
  <pageSetup paperSize="9" orientation="landscape" r:id="rId1"/>
  <drawing r:id="rId2"/>
</chartsheet>
</file>

<file path=xl/chartsheets/sheet2.xml><?xml version="1.0" encoding="utf-8"?>
<chartsheet xmlns="http://schemas.openxmlformats.org/spreadsheetml/2006/main" xmlns:r="http://schemas.openxmlformats.org/officeDocument/2006/relationships">
  <sheetPr>
    <tabColor rgb="FFFFC000"/>
  </sheetPr>
  <sheetViews>
    <sheetView zoomScale="104" workbookViewId="0" zoomToFit="1"/>
  </sheetViews>
  <pageMargins left="0.7" right="0.7" top="0.75" bottom="0.75" header="0.3" footer="0.3"/>
  <pageSetup paperSize="9" orientation="landscape" r:id="rId1"/>
  <drawing r:id="rId2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46</xdr:col>
      <xdr:colOff>723900</xdr:colOff>
      <xdr:row>20</xdr:row>
      <xdr:rowOff>47625</xdr:rowOff>
    </xdr:from>
    <xdr:to>
      <xdr:col>52</xdr:col>
      <xdr:colOff>381000</xdr:colOff>
      <xdr:row>34</xdr:row>
      <xdr:rowOff>104775</xdr:rowOff>
    </xdr:to>
    <xdr:graphicFrame macro="">
      <xdr:nvGraphicFramePr>
        <xdr:cNvPr id="3" name="Gráfico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9305192" cy="6081346"/>
    <xdr:graphicFrame macro="">
      <xdr:nvGraphicFramePr>
        <xdr:cNvPr id="2" name="Gráfico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9305192" cy="6081346"/>
    <xdr:graphicFrame macro="">
      <xdr:nvGraphicFramePr>
        <xdr:cNvPr id="2" name="Gráfico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247650</xdr:colOff>
      <xdr:row>0</xdr:row>
      <xdr:rowOff>28574</xdr:rowOff>
    </xdr:from>
    <xdr:to>
      <xdr:col>11</xdr:col>
      <xdr:colOff>428625</xdr:colOff>
      <xdr:row>42</xdr:row>
      <xdr:rowOff>152399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4642" t="7501" r="21944" b="5359"/>
        <a:stretch/>
      </xdr:blipFill>
      <xdr:spPr>
        <a:xfrm>
          <a:off x="247650" y="28574"/>
          <a:ext cx="8562975" cy="896302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14</xdr:col>
      <xdr:colOff>3483830</xdr:colOff>
      <xdr:row>6</xdr:row>
      <xdr:rowOff>114300</xdr:rowOff>
    </xdr:to>
    <xdr:pic>
      <xdr:nvPicPr>
        <xdr:cNvPr id="7" name="Imagen 6" descr="https://victoryepes.blogs.upv.es/files/2022/12/Hazen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90500"/>
          <a:ext cx="3483830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533400</xdr:colOff>
      <xdr:row>14</xdr:row>
      <xdr:rowOff>85725</xdr:rowOff>
    </xdr:from>
    <xdr:to>
      <xdr:col>14</xdr:col>
      <xdr:colOff>2971800</xdr:colOff>
      <xdr:row>18</xdr:row>
      <xdr:rowOff>9525</xdr:rowOff>
    </xdr:to>
    <xdr:pic>
      <xdr:nvPicPr>
        <xdr:cNvPr id="8" name="Imagen 7" descr="https://www.lifeder.com/wp-content/uploads/2019/06/rugosidad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1400" y="3505200"/>
          <a:ext cx="24384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314325</xdr:colOff>
      <xdr:row>43</xdr:row>
      <xdr:rowOff>142875</xdr:rowOff>
    </xdr:from>
    <xdr:to>
      <xdr:col>12</xdr:col>
      <xdr:colOff>361950</xdr:colOff>
      <xdr:row>95</xdr:row>
      <xdr:rowOff>142875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4642" r="20225" b="3692"/>
        <a:stretch/>
      </xdr:blipFill>
      <xdr:spPr>
        <a:xfrm>
          <a:off x="314325" y="9172575"/>
          <a:ext cx="9191625" cy="99060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23</xdr:row>
      <xdr:rowOff>0</xdr:rowOff>
    </xdr:from>
    <xdr:to>
      <xdr:col>14</xdr:col>
      <xdr:colOff>304800</xdr:colOff>
      <xdr:row>24</xdr:row>
      <xdr:rowOff>114300</xdr:rowOff>
    </xdr:to>
    <xdr:sp macro="" textlink="">
      <xdr:nvSpPr>
        <xdr:cNvPr id="4100" name="AutoShape 4" descr="{\displaystyle h_{f}=f\cdot {\frac {L}{D}}\cdot {\frac {v^{2}}{2g}}}"/>
        <xdr:cNvSpPr>
          <a:spLocks noChangeAspect="1" noChangeArrowheads="1"/>
        </xdr:cNvSpPr>
      </xdr:nvSpPr>
      <xdr:spPr bwMode="auto">
        <a:xfrm>
          <a:off x="10668000" y="51339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BS58"/>
  <sheetViews>
    <sheetView tabSelected="1" topLeftCell="A31" zoomScaleNormal="100" workbookViewId="0">
      <selection activeCell="J63" sqref="J63"/>
    </sheetView>
  </sheetViews>
  <sheetFormatPr baseColWidth="10" defaultRowHeight="12.75" x14ac:dyDescent="0.2"/>
  <cols>
    <col min="1" max="5" width="11.42578125" style="1"/>
    <col min="6" max="6" width="12.7109375" style="1" bestFit="1" customWidth="1"/>
    <col min="7" max="10" width="11.42578125" style="1"/>
    <col min="11" max="11" width="20.140625" style="1" customWidth="1"/>
    <col min="12" max="14" width="11.42578125" style="1"/>
    <col min="15" max="15" width="15.140625" style="1" customWidth="1"/>
    <col min="16" max="41" width="11.42578125" style="1"/>
    <col min="42" max="42" width="11.85546875" style="1" bestFit="1" customWidth="1"/>
    <col min="43" max="43" width="11.42578125" style="1"/>
    <col min="44" max="44" width="11.42578125" style="1" customWidth="1"/>
    <col min="45" max="45" width="15.140625" style="1" customWidth="1"/>
    <col min="46" max="46" width="11.7109375" style="1" bestFit="1" customWidth="1"/>
    <col min="47" max="47" width="11.42578125" style="1"/>
    <col min="48" max="48" width="14.5703125" style="1" customWidth="1"/>
    <col min="49" max="49" width="11.7109375" style="1" bestFit="1" customWidth="1"/>
    <col min="50" max="50" width="12.28515625" style="1" bestFit="1" customWidth="1"/>
    <col min="51" max="51" width="11.42578125" style="1"/>
    <col min="52" max="52" width="12.28515625" style="1" bestFit="1" customWidth="1"/>
    <col min="53" max="16384" width="11.42578125" style="1"/>
  </cols>
  <sheetData>
    <row r="1" spans="1:57" x14ac:dyDescent="0.2">
      <c r="A1" s="1" t="s">
        <v>94</v>
      </c>
      <c r="AS1" s="1" t="s">
        <v>0</v>
      </c>
      <c r="AT1" s="1" t="s">
        <v>1</v>
      </c>
      <c r="AU1" s="1" t="s">
        <v>2</v>
      </c>
      <c r="AV1" s="1" t="s">
        <v>3</v>
      </c>
      <c r="AW1" s="1" t="s">
        <v>4</v>
      </c>
      <c r="AX1" s="1" t="s">
        <v>5</v>
      </c>
    </row>
    <row r="2" spans="1:57" ht="15" x14ac:dyDescent="0.25">
      <c r="B2" s="84" t="s">
        <v>6</v>
      </c>
      <c r="C2" s="84"/>
      <c r="D2" s="84"/>
      <c r="E2" s="18"/>
      <c r="F2" s="18" t="s">
        <v>67</v>
      </c>
      <c r="G2" s="18"/>
      <c r="H2" s="18"/>
      <c r="I2" s="18"/>
      <c r="J2" s="18"/>
      <c r="K2" s="18"/>
      <c r="L2" s="18"/>
      <c r="M2" s="18"/>
      <c r="N2" s="18"/>
      <c r="O2" s="18"/>
      <c r="P2" s="18"/>
      <c r="R2" s="2" t="s">
        <v>7</v>
      </c>
      <c r="AS2" s="1">
        <f>AW2*AT2</f>
        <v>4.4204630803944323E-2</v>
      </c>
      <c r="AT2" s="1">
        <v>1.1000000000000001</v>
      </c>
      <c r="AU2" s="1">
        <v>9.8066499999999994</v>
      </c>
      <c r="AV2" s="1">
        <v>0.22620000000000001</v>
      </c>
      <c r="AW2" s="1">
        <f>PI()*AV2*AV2/4</f>
        <v>4.0186028003585741E-2</v>
      </c>
      <c r="AX2" s="1">
        <v>1.003E-6</v>
      </c>
    </row>
    <row r="3" spans="1:57" ht="15" x14ac:dyDescent="0.25">
      <c r="A3" s="1" t="s">
        <v>55</v>
      </c>
      <c r="B3" s="3" t="s">
        <v>8</v>
      </c>
      <c r="C3" s="4" t="s">
        <v>9</v>
      </c>
      <c r="D3" s="3" t="s">
        <v>10</v>
      </c>
      <c r="E3" s="19" t="s">
        <v>57</v>
      </c>
      <c r="F3" s="19" t="s">
        <v>72</v>
      </c>
      <c r="G3" s="19"/>
      <c r="H3" s="19"/>
      <c r="I3" s="19"/>
      <c r="J3" s="19"/>
      <c r="K3" s="19"/>
      <c r="L3" s="19"/>
      <c r="M3" s="19"/>
      <c r="N3" s="19"/>
      <c r="O3" s="19"/>
      <c r="P3" s="19"/>
      <c r="R3" s="2" t="s">
        <v>11</v>
      </c>
    </row>
    <row r="4" spans="1:57" x14ac:dyDescent="0.2">
      <c r="B4" s="5"/>
      <c r="C4" s="5"/>
      <c r="D4" s="5"/>
      <c r="E4" s="31"/>
      <c r="F4" s="32"/>
      <c r="G4" s="31"/>
      <c r="H4" s="31"/>
      <c r="I4" s="14"/>
      <c r="J4" s="14"/>
      <c r="K4" s="14"/>
      <c r="L4" s="14"/>
      <c r="M4" s="14"/>
      <c r="N4" s="14"/>
      <c r="O4" s="14"/>
      <c r="P4" s="14"/>
      <c r="Q4" s="1" t="s">
        <v>12</v>
      </c>
      <c r="R4" s="1" t="s">
        <v>13</v>
      </c>
      <c r="S4" s="1" t="s">
        <v>14</v>
      </c>
      <c r="T4" s="1" t="s">
        <v>86</v>
      </c>
      <c r="V4" s="58"/>
      <c r="W4" s="58"/>
      <c r="X4" s="58"/>
      <c r="Y4" s="58"/>
      <c r="Z4" s="58"/>
      <c r="AA4" s="58"/>
      <c r="AB4" s="58"/>
      <c r="AC4" s="58"/>
      <c r="AD4" s="58"/>
      <c r="AE4" s="58"/>
    </row>
    <row r="5" spans="1:57" ht="15" x14ac:dyDescent="0.25">
      <c r="B5" s="5"/>
      <c r="C5" s="5"/>
      <c r="D5" s="5"/>
      <c r="E5" s="31"/>
      <c r="F5" s="32"/>
      <c r="G5" s="31"/>
      <c r="H5" s="31"/>
      <c r="I5" s="14"/>
      <c r="J5" s="14"/>
      <c r="K5" s="14"/>
      <c r="L5" s="14"/>
      <c r="M5" s="14"/>
      <c r="N5" s="14"/>
      <c r="O5" s="14"/>
      <c r="P5" s="14"/>
      <c r="Q5" s="1">
        <v>10</v>
      </c>
      <c r="R5" s="1">
        <v>250</v>
      </c>
      <c r="S5" s="6">
        <v>226.2</v>
      </c>
      <c r="T5" s="1">
        <v>26</v>
      </c>
      <c r="V5" s="58"/>
      <c r="W5" s="58"/>
      <c r="X5" s="58"/>
      <c r="Y5" s="58"/>
      <c r="Z5" s="58"/>
      <c r="AA5" s="58"/>
      <c r="AB5" s="58"/>
      <c r="AC5" s="58"/>
      <c r="AD5" s="58"/>
      <c r="AE5" s="58"/>
      <c r="AS5"/>
      <c r="AT5"/>
      <c r="AU5"/>
      <c r="AV5"/>
      <c r="AW5"/>
      <c r="AX5"/>
      <c r="AY5"/>
      <c r="AZ5"/>
      <c r="BA5"/>
      <c r="BB5"/>
      <c r="BC5"/>
      <c r="BD5"/>
      <c r="BE5"/>
    </row>
    <row r="6" spans="1:57" ht="15" x14ac:dyDescent="0.25">
      <c r="B6" s="5"/>
      <c r="C6" s="5"/>
      <c r="D6" s="5"/>
      <c r="E6" s="31"/>
      <c r="F6" s="32"/>
      <c r="G6" s="31"/>
      <c r="H6" s="31"/>
      <c r="I6" s="14"/>
      <c r="J6" s="14"/>
      <c r="K6" s="14"/>
      <c r="L6" s="14"/>
      <c r="M6" s="14"/>
      <c r="N6" s="14"/>
      <c r="O6" s="14"/>
      <c r="P6" s="14"/>
      <c r="Q6" s="1">
        <v>10</v>
      </c>
      <c r="R6" s="1">
        <v>300</v>
      </c>
      <c r="S6" s="6">
        <v>285</v>
      </c>
      <c r="T6" s="1">
        <v>32</v>
      </c>
      <c r="U6" s="58"/>
      <c r="V6" s="58"/>
      <c r="W6" s="58"/>
      <c r="X6" s="58"/>
      <c r="Y6" s="58"/>
      <c r="Z6" s="58"/>
      <c r="AA6" s="58"/>
      <c r="AB6" s="58"/>
      <c r="AC6" s="58"/>
      <c r="AD6" s="58"/>
      <c r="AE6" s="58"/>
      <c r="AS6"/>
      <c r="AT6"/>
      <c r="AU6"/>
      <c r="AV6"/>
      <c r="AW6"/>
      <c r="AX6"/>
      <c r="AY6"/>
      <c r="AZ6"/>
      <c r="BA6"/>
      <c r="BB6"/>
      <c r="BC6"/>
      <c r="BD6"/>
      <c r="BE6"/>
    </row>
    <row r="7" spans="1:57" ht="15" x14ac:dyDescent="0.25">
      <c r="B7" s="5"/>
      <c r="C7" s="5"/>
      <c r="D7" s="5"/>
      <c r="E7" s="31"/>
      <c r="F7" s="32"/>
      <c r="G7" s="31"/>
      <c r="H7" s="31"/>
      <c r="I7" s="14"/>
      <c r="J7" s="14"/>
      <c r="K7" s="14"/>
      <c r="L7" s="14"/>
      <c r="M7" s="14"/>
      <c r="N7" s="14"/>
      <c r="O7" s="14"/>
      <c r="P7" s="14"/>
      <c r="Q7" s="1">
        <v>16</v>
      </c>
      <c r="R7" s="1">
        <v>200</v>
      </c>
      <c r="S7" s="1">
        <v>170.4</v>
      </c>
      <c r="T7" s="1">
        <v>21</v>
      </c>
      <c r="U7" s="58"/>
      <c r="V7" s="58"/>
      <c r="W7" s="58"/>
      <c r="X7" s="58"/>
      <c r="Y7" s="58"/>
      <c r="Z7" s="58"/>
      <c r="AA7" s="58"/>
      <c r="AB7" s="58"/>
      <c r="AC7" s="58"/>
      <c r="AD7" s="58"/>
      <c r="AE7" s="58"/>
      <c r="AS7" t="s">
        <v>95</v>
      </c>
      <c r="AT7"/>
      <c r="AU7"/>
      <c r="AV7"/>
      <c r="AW7"/>
      <c r="AX7" t="s">
        <v>18</v>
      </c>
      <c r="AY7" t="s">
        <v>96</v>
      </c>
      <c r="AZ7" t="s">
        <v>19</v>
      </c>
      <c r="BA7" t="s">
        <v>20</v>
      </c>
      <c r="BB7" t="s">
        <v>99</v>
      </c>
      <c r="BC7" s="1" t="s">
        <v>77</v>
      </c>
    </row>
    <row r="8" spans="1:57" ht="15" x14ac:dyDescent="0.25">
      <c r="B8" s="5"/>
      <c r="C8" s="5"/>
      <c r="D8" s="5"/>
      <c r="E8" s="31"/>
      <c r="F8" s="32"/>
      <c r="G8" s="31"/>
      <c r="H8" s="31"/>
      <c r="I8" s="14"/>
      <c r="J8" s="14"/>
      <c r="K8" s="14"/>
      <c r="L8" s="14"/>
      <c r="M8" s="14"/>
      <c r="N8" s="14"/>
      <c r="O8" s="14"/>
      <c r="P8" s="14"/>
      <c r="S8" s="1" t="s">
        <v>21</v>
      </c>
      <c r="AS8" t="s">
        <v>22</v>
      </c>
      <c r="AT8"/>
      <c r="AU8"/>
      <c r="AV8" t="s">
        <v>23</v>
      </c>
      <c r="AW8" t="s">
        <v>24</v>
      </c>
      <c r="AX8" t="s">
        <v>25</v>
      </c>
      <c r="AY8" t="s">
        <v>96</v>
      </c>
      <c r="AZ8" t="s">
        <v>98</v>
      </c>
      <c r="BA8" t="s">
        <v>98</v>
      </c>
      <c r="BB8" t="s">
        <v>99</v>
      </c>
      <c r="BC8" s="1" t="s">
        <v>77</v>
      </c>
    </row>
    <row r="9" spans="1:57" ht="15" x14ac:dyDescent="0.25">
      <c r="B9" s="5"/>
      <c r="C9" s="5"/>
      <c r="D9" s="5"/>
      <c r="E9" s="31"/>
      <c r="F9" s="32"/>
      <c r="G9" s="14"/>
      <c r="H9" s="14"/>
      <c r="I9" s="14"/>
      <c r="J9" s="14"/>
      <c r="K9" s="14"/>
      <c r="L9" s="14"/>
      <c r="M9" s="14"/>
      <c r="N9" s="14"/>
      <c r="O9" s="14"/>
      <c r="P9" s="14"/>
      <c r="AS9" t="s">
        <v>26</v>
      </c>
      <c r="AT9">
        <f>AT10*AT11</f>
        <v>546</v>
      </c>
      <c r="AU9"/>
      <c r="AV9">
        <v>25</v>
      </c>
      <c r="AW9">
        <v>40</v>
      </c>
      <c r="AX9" s="7">
        <f>(AT$10*(AT$11-15))*AT$16*AW9</f>
        <v>313656.61053440493</v>
      </c>
      <c r="AY9" s="8">
        <f>AX9/100^3</f>
        <v>0.31365661053440491</v>
      </c>
      <c r="AZ9" s="9">
        <f>(AX9/(1000)^3)/AS$2*100</f>
        <v>0.70955600087585791</v>
      </c>
      <c r="BA9">
        <f>(AT$10*AV9/100*AT$12/1000)/(2*PI()*AV$2/2)*100</f>
        <v>7.3174686479032331</v>
      </c>
      <c r="BB9">
        <f>AJ23</f>
        <v>55.464823423470321</v>
      </c>
      <c r="BC9" s="1">
        <f>AJ24</f>
        <v>1.8891893522701249</v>
      </c>
    </row>
    <row r="10" spans="1:57" ht="15" x14ac:dyDescent="0.25">
      <c r="B10" s="5"/>
      <c r="C10" s="5"/>
      <c r="D10" s="5"/>
      <c r="E10" s="31"/>
      <c r="F10" s="32"/>
      <c r="G10" s="14"/>
      <c r="H10" s="14"/>
      <c r="I10" s="14"/>
      <c r="J10" s="14"/>
      <c r="K10" s="14"/>
      <c r="L10" s="14"/>
      <c r="M10" s="14"/>
      <c r="N10" s="14"/>
      <c r="O10" s="14"/>
      <c r="P10" s="14"/>
      <c r="AS10" t="s">
        <v>27</v>
      </c>
      <c r="AT10">
        <v>26</v>
      </c>
      <c r="AU10"/>
      <c r="AV10">
        <v>25</v>
      </c>
      <c r="AW10">
        <v>30</v>
      </c>
      <c r="AX10" s="7">
        <f t="shared" ref="AX10:AX11" si="0">(AT$10*(AT$11-15))*AT$16*AW10</f>
        <v>235242.45790080371</v>
      </c>
      <c r="AY10" s="8">
        <f t="shared" ref="AY10:AY17" si="1">AX10/100^3</f>
        <v>0.2352424579008037</v>
      </c>
      <c r="AZ10" s="9">
        <f t="shared" ref="AZ10:AZ17" si="2">(AX10/(1000)^3)/AS$2*100</f>
        <v>0.53216700065689349</v>
      </c>
      <c r="BA10">
        <f t="shared" ref="BA10:BA17" si="3">(AT$10*AV10/100*AT$12/1000)/(2*PI()*AV$2/2)*100</f>
        <v>7.3174686479032331</v>
      </c>
      <c r="BB10" s="8">
        <f>V23</f>
        <v>28.294374877910684</v>
      </c>
      <c r="BC10" s="21">
        <f>V24</f>
        <v>0.60077302499505458</v>
      </c>
    </row>
    <row r="11" spans="1:57" ht="15" x14ac:dyDescent="0.25">
      <c r="B11" s="85">
        <v>0.25</v>
      </c>
      <c r="C11" s="86"/>
      <c r="D11" s="86"/>
      <c r="E11" s="86"/>
      <c r="F11" s="86"/>
      <c r="G11" s="86"/>
      <c r="H11" s="86"/>
      <c r="I11" s="86"/>
      <c r="J11" s="86"/>
      <c r="K11" s="86"/>
      <c r="L11" s="86"/>
      <c r="M11" s="86"/>
      <c r="N11" s="86"/>
      <c r="O11" s="86"/>
      <c r="P11" s="86"/>
      <c r="Q11" s="86"/>
      <c r="R11" s="86"/>
      <c r="S11" s="86"/>
      <c r="T11" s="86"/>
      <c r="U11" s="86"/>
      <c r="V11" s="86"/>
      <c r="W11" s="86"/>
      <c r="X11" s="86"/>
      <c r="Y11" s="86"/>
      <c r="Z11" s="86"/>
      <c r="AA11" s="86"/>
      <c r="AB11" s="86"/>
      <c r="AC11" s="86"/>
      <c r="AD11" s="86"/>
      <c r="AE11" s="86"/>
      <c r="AF11" s="86"/>
      <c r="AG11" s="86"/>
      <c r="AS11" t="s">
        <v>31</v>
      </c>
      <c r="AT11">
        <v>21</v>
      </c>
      <c r="AU11">
        <f>AT11*AT10</f>
        <v>546</v>
      </c>
      <c r="AV11" s="10">
        <v>25</v>
      </c>
      <c r="AW11">
        <v>20</v>
      </c>
      <c r="AX11" s="7">
        <f t="shared" si="0"/>
        <v>156828.30526720246</v>
      </c>
      <c r="AY11" s="8">
        <f t="shared" si="1"/>
        <v>0.15682830526720246</v>
      </c>
      <c r="AZ11" s="9">
        <f t="shared" si="2"/>
        <v>0.35477800043792895</v>
      </c>
      <c r="BA11">
        <f t="shared" si="3"/>
        <v>7.3174686479032331</v>
      </c>
      <c r="BB11" s="61"/>
    </row>
    <row r="12" spans="1:57" ht="15" x14ac:dyDescent="0.25">
      <c r="B12" s="84" t="s">
        <v>28</v>
      </c>
      <c r="C12" s="84"/>
      <c r="D12" s="84"/>
      <c r="E12" s="62"/>
      <c r="F12" s="62"/>
      <c r="G12" s="62" t="s">
        <v>72</v>
      </c>
      <c r="H12" s="62"/>
      <c r="I12" s="62"/>
      <c r="J12" s="62"/>
      <c r="K12" s="62"/>
      <c r="L12" s="62"/>
      <c r="M12" s="62"/>
      <c r="N12" s="62"/>
      <c r="O12" s="62" t="s">
        <v>73</v>
      </c>
      <c r="P12" s="62"/>
      <c r="Q12" s="84" t="s">
        <v>29</v>
      </c>
      <c r="R12" s="84"/>
      <c r="S12" s="84"/>
      <c r="T12" s="62"/>
      <c r="U12" s="62"/>
      <c r="V12" s="62" t="s">
        <v>72</v>
      </c>
      <c r="W12" s="62"/>
      <c r="X12" s="62"/>
      <c r="Y12" s="62"/>
      <c r="Z12" s="62"/>
      <c r="AA12" s="62"/>
      <c r="AB12" s="62"/>
      <c r="AC12" s="62"/>
      <c r="AD12" s="62"/>
      <c r="AE12" s="84" t="s">
        <v>30</v>
      </c>
      <c r="AF12" s="84"/>
      <c r="AG12" s="84"/>
      <c r="AJ12" s="1" t="s">
        <v>72</v>
      </c>
      <c r="AS12" t="s">
        <v>32</v>
      </c>
      <c r="AT12">
        <v>8</v>
      </c>
      <c r="AU12" t="s">
        <v>33</v>
      </c>
      <c r="AV12">
        <v>50</v>
      </c>
      <c r="AW12">
        <v>40</v>
      </c>
      <c r="AX12" s="7">
        <f>(AT$10*(AT$11-10))*AT$16*AW12</f>
        <v>575037.11931307579</v>
      </c>
      <c r="AY12" s="8">
        <f t="shared" si="1"/>
        <v>0.57503711931307577</v>
      </c>
      <c r="AZ12" s="9">
        <f t="shared" si="2"/>
        <v>1.3008526682724064</v>
      </c>
      <c r="BA12">
        <f t="shared" si="3"/>
        <v>14.634937295806466</v>
      </c>
      <c r="BB12" s="63">
        <f>AJ38</f>
        <v>93.717414740939773</v>
      </c>
      <c r="BC12" s="22">
        <f>AJ39</f>
        <v>4.1460111637927044</v>
      </c>
    </row>
    <row r="13" spans="1:57" ht="15" x14ac:dyDescent="0.25">
      <c r="A13" s="20" t="s">
        <v>55</v>
      </c>
      <c r="B13" s="3" t="s">
        <v>8</v>
      </c>
      <c r="C13" s="4" t="s">
        <v>9</v>
      </c>
      <c r="D13" s="3" t="s">
        <v>88</v>
      </c>
      <c r="E13" s="3" t="s">
        <v>56</v>
      </c>
      <c r="F13" s="3" t="s">
        <v>57</v>
      </c>
      <c r="G13" s="3" t="s">
        <v>74</v>
      </c>
      <c r="H13" s="3" t="s">
        <v>85</v>
      </c>
      <c r="I13" s="3" t="s">
        <v>61</v>
      </c>
      <c r="J13" s="3" t="s">
        <v>62</v>
      </c>
      <c r="K13" s="3" t="s">
        <v>63</v>
      </c>
      <c r="L13" s="3" t="s">
        <v>65</v>
      </c>
      <c r="M13" s="3" t="s">
        <v>64</v>
      </c>
      <c r="N13" s="3" t="s">
        <v>66</v>
      </c>
      <c r="O13" s="29" t="s">
        <v>67</v>
      </c>
      <c r="P13" s="3" t="s">
        <v>55</v>
      </c>
      <c r="Q13" s="3" t="s">
        <v>8</v>
      </c>
      <c r="R13" s="4" t="s">
        <v>9</v>
      </c>
      <c r="S13" s="3" t="s">
        <v>88</v>
      </c>
      <c r="T13" s="3" t="s">
        <v>56</v>
      </c>
      <c r="U13" s="3" t="s">
        <v>57</v>
      </c>
      <c r="V13" s="3" t="s">
        <v>74</v>
      </c>
      <c r="W13" s="3" t="s">
        <v>61</v>
      </c>
      <c r="X13" s="3" t="s">
        <v>62</v>
      </c>
      <c r="Y13" s="3" t="s">
        <v>63</v>
      </c>
      <c r="Z13" s="3" t="s">
        <v>65</v>
      </c>
      <c r="AA13" s="3" t="s">
        <v>64</v>
      </c>
      <c r="AB13" s="3" t="s">
        <v>66</v>
      </c>
      <c r="AC13" s="3" t="s">
        <v>67</v>
      </c>
      <c r="AD13" s="3" t="s">
        <v>55</v>
      </c>
      <c r="AE13" s="3" t="s">
        <v>8</v>
      </c>
      <c r="AF13" s="4" t="s">
        <v>9</v>
      </c>
      <c r="AG13" s="3" t="s">
        <v>88</v>
      </c>
      <c r="AH13" s="27" t="s">
        <v>56</v>
      </c>
      <c r="AI13" s="27" t="s">
        <v>57</v>
      </c>
      <c r="AJ13" s="27" t="s">
        <v>74</v>
      </c>
      <c r="AK13" s="16" t="s">
        <v>61</v>
      </c>
      <c r="AL13" s="16" t="s">
        <v>62</v>
      </c>
      <c r="AM13" s="16" t="s">
        <v>63</v>
      </c>
      <c r="AN13" s="16" t="s">
        <v>65</v>
      </c>
      <c r="AO13" s="16" t="s">
        <v>64</v>
      </c>
      <c r="AP13" s="16" t="s">
        <v>66</v>
      </c>
      <c r="AQ13" s="16" t="s">
        <v>67</v>
      </c>
      <c r="AS13" t="s">
        <v>34</v>
      </c>
      <c r="AT13">
        <v>226.2</v>
      </c>
      <c r="AU13" t="s">
        <v>33</v>
      </c>
      <c r="AV13" s="79">
        <v>50</v>
      </c>
      <c r="AW13" s="79">
        <v>30</v>
      </c>
      <c r="AX13" s="7">
        <f t="shared" ref="AX13:AX14" si="4">(AT$10*(AT$11-10))*AT$16*AW13</f>
        <v>431277.83948480681</v>
      </c>
      <c r="AY13" s="8">
        <f t="shared" si="1"/>
        <v>0.4312778394848068</v>
      </c>
      <c r="AZ13" s="9">
        <f t="shared" si="2"/>
        <v>0.97563950120430465</v>
      </c>
      <c r="BA13">
        <f t="shared" si="3"/>
        <v>14.634937295806466</v>
      </c>
      <c r="BB13" s="63">
        <f>V38</f>
        <v>57.2851658852356</v>
      </c>
      <c r="BC13" s="22">
        <f>V39</f>
        <v>5.1525081355086773</v>
      </c>
    </row>
    <row r="14" spans="1:57" ht="15" x14ac:dyDescent="0.25">
      <c r="A14" s="21"/>
      <c r="B14" s="5"/>
      <c r="C14" s="5"/>
      <c r="D14" s="5"/>
      <c r="E14" s="24"/>
      <c r="F14" s="25"/>
      <c r="G14" s="30"/>
      <c r="H14" s="30"/>
      <c r="I14" s="25"/>
      <c r="J14" s="25"/>
      <c r="K14" s="25"/>
      <c r="L14" s="25"/>
      <c r="M14" s="25"/>
      <c r="N14" s="25"/>
      <c r="O14" s="25"/>
      <c r="P14" s="25">
        <f>(Q14/3600)/(PI()*($S$5/1000/2)^2)</f>
        <v>0.63361848702665624</v>
      </c>
      <c r="Q14" s="59">
        <v>91.665396947674182</v>
      </c>
      <c r="R14" s="59">
        <v>2.225514</v>
      </c>
      <c r="S14" s="5"/>
      <c r="T14" s="24">
        <f>P14*$S$5/1000/$AX$2</f>
        <v>142895.81432246225</v>
      </c>
      <c r="U14" s="5">
        <f>(R14/$AU$2*($S$5/1000)*2*$AU$2)/((P14^2)*$AT$2)</f>
        <v>2.2798410096662733</v>
      </c>
      <c r="V14" s="5">
        <f>((3.7^2)/(10^(1/(U14^0.5))))^0.5*$S$5</f>
        <v>390.43585130797965</v>
      </c>
      <c r="W14" s="5">
        <f>U14^0.5</f>
        <v>1.5099142391759452</v>
      </c>
      <c r="X14" s="5">
        <f>1/W14</f>
        <v>0.66228927051231901</v>
      </c>
      <c r="Y14" s="5">
        <f>10^X14</f>
        <v>4.5950397272731314</v>
      </c>
      <c r="Z14" s="5">
        <f>1/Y14</f>
        <v>0.2176259748233858</v>
      </c>
      <c r="AA14" s="5">
        <f>Z14^0.5</f>
        <v>0.46650399229094042</v>
      </c>
      <c r="AB14" s="5">
        <f>IF(AA14-(2.51/(T14*W14))&gt;0, AA14-(2.51/(T14*W14)), AA14)</f>
        <v>0.46649235901758762</v>
      </c>
      <c r="AC14" s="5">
        <f>AB14*3.7*$S$5</f>
        <v>390.42611495617979</v>
      </c>
      <c r="AD14" s="5">
        <f>(AE14/3600)/(PI()*($S$5/1000/2)^2)</f>
        <v>0.67085921273010141</v>
      </c>
      <c r="AE14" s="5">
        <v>97.053001593247188</v>
      </c>
      <c r="AF14" s="5">
        <v>2.1320350000000001</v>
      </c>
      <c r="AG14" s="5">
        <f>AF14/AD14</f>
        <v>3.1780662164920672</v>
      </c>
      <c r="AH14" s="21">
        <f>AD14*$S$5/1000/$AX$2</f>
        <v>151294.47050802485</v>
      </c>
      <c r="AI14" s="21">
        <f>(AF14/$AU$2*($S$5/1000)*2*$AU$2)/((AD14^2)*$AT$2)</f>
        <v>1.9483252752703273</v>
      </c>
      <c r="AJ14" s="21">
        <f>((3.7^2)/(10^(1/(AI14^0.5))))^0.5*$S$5</f>
        <v>366.84536202579113</v>
      </c>
      <c r="AK14" s="21">
        <f>AI14^0.5</f>
        <v>1.3958242279278317</v>
      </c>
      <c r="AL14" s="21">
        <f>1/AK14</f>
        <v>0.71642258386970981</v>
      </c>
      <c r="AM14" s="21">
        <f>10^AL14</f>
        <v>5.2050221724922432</v>
      </c>
      <c r="AN14" s="21">
        <f>1/AM14</f>
        <v>0.19212214028306146</v>
      </c>
      <c r="AO14" s="21">
        <f>AN14^0.5</f>
        <v>0.43831739673786785</v>
      </c>
      <c r="AP14" s="21">
        <f>IF(AO14-(2.51/(AH14*AK14))&gt;0, AO14-(2.51/(AH14*AK14)), AO14)</f>
        <v>0.4383055111700776</v>
      </c>
      <c r="AQ14" s="21">
        <f>AP14*3.7*$S$5</f>
        <v>366.83541451868473</v>
      </c>
      <c r="AS14" t="s">
        <v>97</v>
      </c>
      <c r="AT14">
        <f>2*PI()*AT13/2</f>
        <v>710.62825824201116</v>
      </c>
      <c r="AU14" t="s">
        <v>33</v>
      </c>
      <c r="AV14" s="79">
        <v>50</v>
      </c>
      <c r="AW14" s="79">
        <v>20</v>
      </c>
      <c r="AX14" s="7">
        <f t="shared" si="4"/>
        <v>287518.55965653789</v>
      </c>
      <c r="AY14" s="8">
        <f t="shared" si="1"/>
        <v>0.28751855965653789</v>
      </c>
      <c r="AZ14" s="9">
        <f t="shared" si="2"/>
        <v>0.65042633413620321</v>
      </c>
      <c r="BA14">
        <f t="shared" si="3"/>
        <v>14.634937295806466</v>
      </c>
      <c r="BB14"/>
    </row>
    <row r="15" spans="1:57" ht="15" x14ac:dyDescent="0.25">
      <c r="A15" s="21"/>
      <c r="B15" s="5"/>
      <c r="C15" s="5"/>
      <c r="D15" s="5"/>
      <c r="E15" s="24"/>
      <c r="F15" s="25"/>
      <c r="G15" s="30"/>
      <c r="H15" s="30"/>
      <c r="I15" s="25"/>
      <c r="J15" s="25"/>
      <c r="K15" s="25"/>
      <c r="L15" s="25"/>
      <c r="M15" s="25"/>
      <c r="N15" s="25"/>
      <c r="O15" s="25"/>
      <c r="P15" s="25">
        <f t="shared" ref="P15:P22" si="5">(Q15/3600)/(PI()*($S$5/1000/2)^2)</f>
        <v>1.2305478342964162</v>
      </c>
      <c r="Q15" s="59">
        <v>178.02298702363518</v>
      </c>
      <c r="R15" s="59">
        <v>2.3376670000000002</v>
      </c>
      <c r="S15" s="5"/>
      <c r="T15" s="24">
        <f t="shared" ref="T15:T22" si="6">P15*$S$5/1000/$AX$2</f>
        <v>277517.36801380798</v>
      </c>
      <c r="U15" s="5">
        <f t="shared" ref="U15:U22" si="7">(R15/$AU$2*($S$5/1000)*2*$AU$2)/((P15^2)*$AT$2)</f>
        <v>0.63491495449288948</v>
      </c>
      <c r="V15" s="5">
        <f t="shared" ref="V15:V22" si="8">((3.7^2)/(10^(1/(U15^0.5))))^0.5*$S$5</f>
        <v>197.33153661626238</v>
      </c>
      <c r="W15" s="5">
        <f t="shared" ref="W15:W22" si="9">U15^0.5</f>
        <v>0.79681550844150206</v>
      </c>
      <c r="X15" s="5">
        <f t="shared" ref="X15:X22" si="10">1/W15</f>
        <v>1.2549956538319744</v>
      </c>
      <c r="Y15" s="5">
        <f t="shared" ref="Y15:Y22" si="11">10^X15</f>
        <v>17.988529131590209</v>
      </c>
      <c r="Z15" s="5">
        <f t="shared" ref="Z15:Z22" si="12">1/Y15</f>
        <v>5.5590982046657127E-2</v>
      </c>
      <c r="AA15" s="5">
        <f t="shared" ref="AA15:AA22" si="13">Z15^0.5</f>
        <v>0.23577739935510597</v>
      </c>
      <c r="AB15" s="5">
        <f t="shared" ref="AB15:AB22" si="14">IF(AA15-(2.51/(T15*W15))&gt;0, AA15-(2.51/(T15*W15)), AA15)</f>
        <v>0.23576604857330208</v>
      </c>
      <c r="AC15" s="5">
        <f t="shared" ref="AC15:AC22" si="15">AB15*3.7*$S$5</f>
        <v>197.32203669293943</v>
      </c>
      <c r="AD15" s="5">
        <f t="shared" ref="AD15:AD22" si="16">(AE15/3600)/(PI()*($S$5/1000/2)^2)</f>
        <v>1.2204779881407282</v>
      </c>
      <c r="AE15" s="5">
        <v>176.56618539305978</v>
      </c>
      <c r="AF15" s="5">
        <v>2.7213430000000001</v>
      </c>
      <c r="AG15" s="5">
        <f t="shared" ref="AG15:AG22" si="17">AF15/AD15</f>
        <v>2.2297354204197362</v>
      </c>
      <c r="AH15" s="21">
        <f t="shared" ref="AH15:AH22" si="18">AD15*$S$5/1000/$AX$2</f>
        <v>275246.38177211635</v>
      </c>
      <c r="AI15" s="21">
        <f t="shared" ref="AI15:AI22" si="19">(AF15/$AU$2*($S$5/1000)*2*$AU$2)/((AD15^2)*$AT$2)</f>
        <v>0.7513690343974373</v>
      </c>
      <c r="AJ15" s="21">
        <f t="shared" ref="AJ15:AJ22" si="20">((3.7^2)/(10^(1/(AI15^0.5))))^0.5*$S$5</f>
        <v>221.75339460706141</v>
      </c>
      <c r="AK15" s="21">
        <f t="shared" ref="AK15:AK22" si="21">AI15^0.5</f>
        <v>0.86681545579058361</v>
      </c>
      <c r="AL15" s="21">
        <f t="shared" ref="AL15:AL22" si="22">1/AK15</f>
        <v>1.1536480958198245</v>
      </c>
      <c r="AM15" s="21">
        <f t="shared" ref="AM15:AM22" si="23">10^AL15</f>
        <v>14.244529068737277</v>
      </c>
      <c r="AN15" s="21">
        <f t="shared" ref="AN15:AN22" si="24">1/AM15</f>
        <v>7.0202391049537599E-2</v>
      </c>
      <c r="AO15" s="21">
        <f t="shared" ref="AO15:AO22" si="25">AN15^0.5</f>
        <v>0.26495733816887879</v>
      </c>
      <c r="AP15" s="21">
        <f t="shared" ref="AP15:AP22" si="26">IF(AO15-(2.51/(AH15*AK15))&gt;0, AO15-(2.51/(AH15*AK15)), AO15)</f>
        <v>0.26494681793351049</v>
      </c>
      <c r="AQ15" s="21">
        <f t="shared" ref="AQ15:AQ22" si="27">AP15*3.7*$S$5</f>
        <v>221.74458980127227</v>
      </c>
      <c r="AS15" t="s">
        <v>36</v>
      </c>
      <c r="AT15">
        <f>AT14/AT10</f>
        <v>27.331856086231198</v>
      </c>
      <c r="AU15" t="s">
        <v>33</v>
      </c>
      <c r="AV15" s="79">
        <v>75</v>
      </c>
      <c r="AW15" s="79">
        <v>40</v>
      </c>
      <c r="AX15" s="7">
        <f>(AT$10*(AT$11-5))*AT$16*AW15</f>
        <v>836417.62809174659</v>
      </c>
      <c r="AY15" s="8">
        <f t="shared" si="1"/>
        <v>0.83641762809174658</v>
      </c>
      <c r="AZ15" s="9">
        <f t="shared" si="2"/>
        <v>1.8921493356689547</v>
      </c>
      <c r="BA15">
        <f t="shared" si="3"/>
        <v>21.952405943709703</v>
      </c>
      <c r="BB15" s="9">
        <f>AJ53</f>
        <v>132.50726748277299</v>
      </c>
      <c r="BC15" s="22">
        <f>AJ54</f>
        <v>4.6548434461377521</v>
      </c>
    </row>
    <row r="16" spans="1:57" ht="15" x14ac:dyDescent="0.25">
      <c r="A16" s="21"/>
      <c r="B16" s="5"/>
      <c r="C16" s="5"/>
      <c r="D16" s="5"/>
      <c r="E16" s="24"/>
      <c r="F16" s="25"/>
      <c r="G16" s="30"/>
      <c r="H16" s="30"/>
      <c r="I16" s="25"/>
      <c r="J16" s="25"/>
      <c r="K16" s="25"/>
      <c r="L16" s="25"/>
      <c r="M16" s="25"/>
      <c r="N16" s="25"/>
      <c r="O16" s="25"/>
      <c r="P16" s="25">
        <f t="shared" si="5"/>
        <v>1.8630588456797617</v>
      </c>
      <c r="Q16" s="59">
        <v>269.52816580133401</v>
      </c>
      <c r="R16" s="59">
        <v>3.0646339999999999</v>
      </c>
      <c r="S16" s="5"/>
      <c r="T16" s="24">
        <f t="shared" si="6"/>
        <v>420163.42063086951</v>
      </c>
      <c r="U16" s="5">
        <f t="shared" si="7"/>
        <v>0.36312435766561924</v>
      </c>
      <c r="V16" s="5">
        <f t="shared" si="8"/>
        <v>123.86647458752695</v>
      </c>
      <c r="W16" s="5">
        <f t="shared" si="9"/>
        <v>0.60259800668905239</v>
      </c>
      <c r="X16" s="5">
        <f t="shared" si="10"/>
        <v>1.6594810950246168</v>
      </c>
      <c r="Y16" s="5">
        <f t="shared" si="11"/>
        <v>45.654237633645636</v>
      </c>
      <c r="Z16" s="5">
        <f t="shared" si="12"/>
        <v>2.1903771738004747E-2</v>
      </c>
      <c r="AA16" s="5">
        <f t="shared" si="13"/>
        <v>0.14799922884260155</v>
      </c>
      <c r="AB16" s="5">
        <f t="shared" si="14"/>
        <v>0.1479893153248035</v>
      </c>
      <c r="AC16" s="5">
        <f t="shared" si="15"/>
        <v>123.85817756794103</v>
      </c>
      <c r="AD16" s="5">
        <f t="shared" si="16"/>
        <v>1.8961813367467197</v>
      </c>
      <c r="AE16" s="5">
        <v>274.31998667416906</v>
      </c>
      <c r="AF16" s="5">
        <v>3.4760559999999998</v>
      </c>
      <c r="AG16" s="5">
        <f t="shared" si="17"/>
        <v>1.8331875399448201</v>
      </c>
      <c r="AH16" s="21">
        <f t="shared" si="18"/>
        <v>427633.31841685745</v>
      </c>
      <c r="AI16" s="21">
        <f t="shared" si="19"/>
        <v>0.39760967189405177</v>
      </c>
      <c r="AJ16" s="21">
        <f t="shared" si="20"/>
        <v>134.81931599292079</v>
      </c>
      <c r="AK16" s="21">
        <f t="shared" si="21"/>
        <v>0.63056298011701561</v>
      </c>
      <c r="AL16" s="21">
        <f t="shared" si="22"/>
        <v>1.5858844104904901</v>
      </c>
      <c r="AM16" s="21">
        <f t="shared" si="23"/>
        <v>38.537577444836806</v>
      </c>
      <c r="AN16" s="21">
        <f t="shared" si="24"/>
        <v>2.5948699069925012E-2</v>
      </c>
      <c r="AO16" s="21">
        <f t="shared" si="25"/>
        <v>0.16108599898788539</v>
      </c>
      <c r="AP16" s="21">
        <f t="shared" si="26"/>
        <v>0.16107669061620597</v>
      </c>
      <c r="AQ16" s="21">
        <f t="shared" si="27"/>
        <v>134.81152544432743</v>
      </c>
      <c r="AS16" t="s">
        <v>37</v>
      </c>
      <c r="AT16">
        <f>PI()*(AT12/2)^2</f>
        <v>50.26548245743669</v>
      </c>
      <c r="AU16" t="s">
        <v>38</v>
      </c>
      <c r="AV16" s="79">
        <v>75</v>
      </c>
      <c r="AW16" s="79">
        <v>30</v>
      </c>
      <c r="AX16" s="7">
        <f t="shared" ref="AX16:AX17" si="28">(AT$10*(AT$11-5))*AT$16*AW16</f>
        <v>627313.22106880997</v>
      </c>
      <c r="AY16" s="8">
        <f t="shared" si="1"/>
        <v>0.62731322106880993</v>
      </c>
      <c r="AZ16" s="9">
        <f t="shared" si="2"/>
        <v>1.419112001751716</v>
      </c>
      <c r="BA16">
        <f t="shared" si="3"/>
        <v>21.952405943709703</v>
      </c>
      <c r="BB16" s="9">
        <f>V53</f>
        <v>73.472958199901569</v>
      </c>
      <c r="BC16" s="22">
        <f>V54</f>
        <v>6.2558287482267287</v>
      </c>
    </row>
    <row r="17" spans="1:54" ht="15" x14ac:dyDescent="0.25">
      <c r="A17" s="21"/>
      <c r="B17" s="5"/>
      <c r="C17" s="5"/>
      <c r="D17" s="5"/>
      <c r="E17" s="24"/>
      <c r="F17" s="25"/>
      <c r="G17" s="30"/>
      <c r="H17" s="30"/>
      <c r="I17" s="25"/>
      <c r="J17" s="25"/>
      <c r="K17" s="25"/>
      <c r="L17" s="25"/>
      <c r="M17" s="25"/>
      <c r="N17" s="25"/>
      <c r="O17" s="25"/>
      <c r="P17" s="25">
        <f t="shared" si="5"/>
        <v>2.4863642190062532</v>
      </c>
      <c r="Q17" s="59">
        <v>359.70156767555585</v>
      </c>
      <c r="R17" s="59">
        <v>3.734423</v>
      </c>
      <c r="S17" s="5"/>
      <c r="T17" s="24">
        <f t="shared" si="6"/>
        <v>560733.38618067245</v>
      </c>
      <c r="U17" s="5">
        <f t="shared" si="7"/>
        <v>0.24844137586020532</v>
      </c>
      <c r="V17" s="5">
        <f t="shared" si="8"/>
        <v>83.092614531852306</v>
      </c>
      <c r="W17" s="5">
        <f t="shared" si="9"/>
        <v>0.49843893894859914</v>
      </c>
      <c r="X17" s="5">
        <f t="shared" si="10"/>
        <v>2.0062638005557663</v>
      </c>
      <c r="Y17" s="5">
        <f t="shared" si="11"/>
        <v>101.45274461484904</v>
      </c>
      <c r="Z17" s="5">
        <f t="shared" si="12"/>
        <v>9.8568057847656879E-3</v>
      </c>
      <c r="AA17" s="5">
        <f t="shared" si="13"/>
        <v>9.9281447334160514E-2</v>
      </c>
      <c r="AB17" s="5">
        <f t="shared" si="14"/>
        <v>9.9272466734354081E-2</v>
      </c>
      <c r="AC17" s="5">
        <f t="shared" si="15"/>
        <v>83.085098308650302</v>
      </c>
      <c r="AD17" s="5">
        <f t="shared" si="16"/>
        <v>2.4976969434454674</v>
      </c>
      <c r="AE17" s="5">
        <v>361.34106952957211</v>
      </c>
      <c r="AF17" s="5">
        <v>4.6206779999999998</v>
      </c>
      <c r="AG17" s="5">
        <f t="shared" si="17"/>
        <v>1.8499754392244119</v>
      </c>
      <c r="AH17" s="21">
        <f t="shared" si="18"/>
        <v>563289.18106417218</v>
      </c>
      <c r="AI17" s="21">
        <f t="shared" si="19"/>
        <v>0.30461839907119892</v>
      </c>
      <c r="AJ17" s="21">
        <f t="shared" si="20"/>
        <v>103.93694869117714</v>
      </c>
      <c r="AK17" s="21">
        <f t="shared" si="21"/>
        <v>0.55192245748039548</v>
      </c>
      <c r="AL17" s="21">
        <f t="shared" si="22"/>
        <v>1.8118487233970189</v>
      </c>
      <c r="AM17" s="21">
        <f t="shared" si="23"/>
        <v>64.840853584458102</v>
      </c>
      <c r="AN17" s="21">
        <f t="shared" si="24"/>
        <v>1.5422375627696749E-2</v>
      </c>
      <c r="AO17" s="21">
        <f t="shared" si="25"/>
        <v>0.12418685770924695</v>
      </c>
      <c r="AP17" s="21">
        <f t="shared" si="26"/>
        <v>0.12417878416470073</v>
      </c>
      <c r="AQ17" s="21">
        <f t="shared" si="27"/>
        <v>103.93019161880461</v>
      </c>
      <c r="AS17"/>
      <c r="AT17"/>
      <c r="AU17"/>
      <c r="AV17" s="79">
        <v>75</v>
      </c>
      <c r="AW17" s="79">
        <v>20</v>
      </c>
      <c r="AX17" s="7">
        <f t="shared" si="28"/>
        <v>418208.8140458733</v>
      </c>
      <c r="AY17" s="8">
        <f t="shared" si="1"/>
        <v>0.41820881404587329</v>
      </c>
      <c r="AZ17" s="9">
        <f t="shared" si="2"/>
        <v>0.94607466783447736</v>
      </c>
      <c r="BA17">
        <f t="shared" si="3"/>
        <v>21.952405943709703</v>
      </c>
      <c r="BB17"/>
    </row>
    <row r="18" spans="1:54" ht="15" x14ac:dyDescent="0.25">
      <c r="A18" s="21"/>
      <c r="B18" s="5"/>
      <c r="C18" s="5"/>
      <c r="D18" s="5"/>
      <c r="E18" s="24"/>
      <c r="F18" s="25"/>
      <c r="G18" s="30"/>
      <c r="H18" s="30"/>
      <c r="I18" s="25"/>
      <c r="J18" s="25"/>
      <c r="K18" s="25"/>
      <c r="L18" s="25"/>
      <c r="M18" s="25"/>
      <c r="N18" s="25"/>
      <c r="O18" s="25"/>
      <c r="P18" s="25">
        <f t="shared" si="5"/>
        <v>3.7653855761277688</v>
      </c>
      <c r="Q18" s="59">
        <v>544.73720474364586</v>
      </c>
      <c r="R18" s="59">
        <v>5.3270411228115169</v>
      </c>
      <c r="S18" s="5"/>
      <c r="T18" s="24">
        <f t="shared" si="6"/>
        <v>849182.66931216477</v>
      </c>
      <c r="U18" s="5">
        <f t="shared" si="7"/>
        <v>0.1545243947513246</v>
      </c>
      <c r="V18" s="5">
        <f t="shared" si="8"/>
        <v>44.744546414916215</v>
      </c>
      <c r="W18" s="5">
        <f t="shared" si="9"/>
        <v>0.39309591037216934</v>
      </c>
      <c r="X18" s="5">
        <f t="shared" si="10"/>
        <v>2.5439084295057541</v>
      </c>
      <c r="Y18" s="5">
        <f t="shared" si="11"/>
        <v>349.87138926882523</v>
      </c>
      <c r="Z18" s="5">
        <f t="shared" si="12"/>
        <v>2.8581931265938571E-3</v>
      </c>
      <c r="AA18" s="5">
        <f t="shared" si="13"/>
        <v>5.3462071850928647E-2</v>
      </c>
      <c r="AB18" s="5">
        <f t="shared" si="14"/>
        <v>5.3454552608733996E-2</v>
      </c>
      <c r="AC18" s="5">
        <f t="shared" si="15"/>
        <v>44.738253260353829</v>
      </c>
      <c r="AD18" s="5">
        <f t="shared" si="16"/>
        <v>3.7305386752617102</v>
      </c>
      <c r="AE18" s="5">
        <v>539.69591402109609</v>
      </c>
      <c r="AF18" s="5">
        <v>8.6632513196356786</v>
      </c>
      <c r="AG18" s="5">
        <f t="shared" si="17"/>
        <v>2.3222521125660012</v>
      </c>
      <c r="AH18" s="21">
        <f t="shared" si="18"/>
        <v>841323.87671405659</v>
      </c>
      <c r="AI18" s="21">
        <f t="shared" si="19"/>
        <v>0.25601636730997557</v>
      </c>
      <c r="AJ18" s="21">
        <f t="shared" si="20"/>
        <v>86.003107750822238</v>
      </c>
      <c r="AK18" s="21">
        <f t="shared" si="21"/>
        <v>0.50598059973676424</v>
      </c>
      <c r="AL18" s="21">
        <f t="shared" si="22"/>
        <v>1.9763603595083463</v>
      </c>
      <c r="AM18" s="21">
        <f t="shared" si="23"/>
        <v>94.702263546095352</v>
      </c>
      <c r="AN18" s="21">
        <f t="shared" si="24"/>
        <v>1.0559409696825887E-2</v>
      </c>
      <c r="AO18" s="21">
        <f t="shared" si="25"/>
        <v>0.10275898839919498</v>
      </c>
      <c r="AP18" s="21">
        <f t="shared" si="26"/>
        <v>0.10275309213897978</v>
      </c>
      <c r="AQ18" s="21">
        <f t="shared" si="27"/>
        <v>85.998172934797736</v>
      </c>
      <c r="AV18" s="79"/>
      <c r="AW18" s="58"/>
      <c r="AX18" s="7"/>
      <c r="AY18" s="8"/>
      <c r="AZ18" s="9"/>
    </row>
    <row r="19" spans="1:54" ht="15" x14ac:dyDescent="0.25">
      <c r="A19" s="21"/>
      <c r="B19" s="5"/>
      <c r="C19" s="5"/>
      <c r="D19" s="5"/>
      <c r="E19" s="24"/>
      <c r="F19" s="25"/>
      <c r="G19" s="30"/>
      <c r="H19" s="30"/>
      <c r="I19" s="25"/>
      <c r="J19" s="25"/>
      <c r="K19" s="25"/>
      <c r="L19" s="25"/>
      <c r="M19" s="25"/>
      <c r="N19" s="25"/>
      <c r="O19" s="25"/>
      <c r="P19" s="25">
        <f t="shared" si="5"/>
        <v>4.8194671782171241</v>
      </c>
      <c r="Q19" s="59">
        <v>697.23087475030434</v>
      </c>
      <c r="R19" s="59">
        <v>7.6503803552480996</v>
      </c>
      <c r="S19" s="5"/>
      <c r="T19" s="24">
        <f t="shared" si="6"/>
        <v>1086902.7674104818</v>
      </c>
      <c r="U19" s="5">
        <f t="shared" si="7"/>
        <v>0.13546118946135477</v>
      </c>
      <c r="V19" s="5">
        <f t="shared" si="8"/>
        <v>36.659386538909025</v>
      </c>
      <c r="W19" s="5">
        <f t="shared" si="9"/>
        <v>0.3680505256909094</v>
      </c>
      <c r="X19" s="5">
        <f t="shared" si="10"/>
        <v>2.7170182629756785</v>
      </c>
      <c r="Y19" s="5">
        <f t="shared" si="11"/>
        <v>521.21662887486559</v>
      </c>
      <c r="Z19" s="5">
        <f t="shared" si="12"/>
        <v>1.9185880584022606E-3</v>
      </c>
      <c r="AA19" s="5">
        <f t="shared" si="13"/>
        <v>4.3801690131800401E-2</v>
      </c>
      <c r="AB19" s="5">
        <f t="shared" si="14"/>
        <v>4.3795415682931056E-2</v>
      </c>
      <c r="AC19" s="5">
        <f t="shared" si="15"/>
        <v>36.654135201672318</v>
      </c>
      <c r="AD19" s="5">
        <f t="shared" si="16"/>
        <v>4.8210519764813888</v>
      </c>
      <c r="AE19" s="5">
        <v>697.46014704104425</v>
      </c>
      <c r="AF19" s="5">
        <v>12.527511428214694</v>
      </c>
      <c r="AG19" s="5">
        <f t="shared" si="17"/>
        <v>2.5985016318695262</v>
      </c>
      <c r="AH19" s="21">
        <f t="shared" si="18"/>
        <v>1087260.1765504389</v>
      </c>
      <c r="AI19" s="21">
        <f t="shared" si="19"/>
        <v>0.221672128443135</v>
      </c>
      <c r="AJ19" s="21">
        <f t="shared" si="20"/>
        <v>72.56361656415821</v>
      </c>
      <c r="AK19" s="21">
        <f t="shared" si="21"/>
        <v>0.4708206967021894</v>
      </c>
      <c r="AL19" s="21">
        <f t="shared" si="22"/>
        <v>2.1239508097337003</v>
      </c>
      <c r="AM19" s="21">
        <f t="shared" si="23"/>
        <v>133.03037328930691</v>
      </c>
      <c r="AN19" s="21">
        <f t="shared" si="24"/>
        <v>7.5170803123678883E-3</v>
      </c>
      <c r="AO19" s="21">
        <f t="shared" si="25"/>
        <v>8.6701097526893436E-2</v>
      </c>
      <c r="AP19" s="21">
        <f t="shared" si="26"/>
        <v>8.6696194269469493E-2</v>
      </c>
      <c r="AQ19" s="21">
        <f t="shared" si="27"/>
        <v>72.559512831889805</v>
      </c>
      <c r="AV19" s="79"/>
      <c r="AW19" s="58"/>
      <c r="AX19" s="7"/>
      <c r="AY19" s="8"/>
      <c r="AZ19" s="9"/>
    </row>
    <row r="20" spans="1:54" ht="15" x14ac:dyDescent="0.25">
      <c r="A20" s="21"/>
      <c r="B20" s="5"/>
      <c r="C20" s="5"/>
      <c r="D20" s="5"/>
      <c r="E20" s="24"/>
      <c r="F20" s="25"/>
      <c r="G20" s="30"/>
      <c r="H20" s="30"/>
      <c r="I20" s="25"/>
      <c r="J20" s="25"/>
      <c r="K20" s="25"/>
      <c r="L20" s="25"/>
      <c r="M20" s="25"/>
      <c r="N20" s="25"/>
      <c r="O20" s="25"/>
      <c r="P20" s="25">
        <f t="shared" si="5"/>
        <v>6.2122539664292331</v>
      </c>
      <c r="Q20" s="59">
        <v>898.724922697122</v>
      </c>
      <c r="R20" s="59">
        <v>11.78109379386753</v>
      </c>
      <c r="S20" s="5"/>
      <c r="T20" s="24">
        <f t="shared" si="6"/>
        <v>1401008.8207440602</v>
      </c>
      <c r="U20" s="5">
        <f t="shared" si="7"/>
        <v>0.1255501166636159</v>
      </c>
      <c r="V20" s="5">
        <f t="shared" si="8"/>
        <v>32.47749002443642</v>
      </c>
      <c r="W20" s="5">
        <f t="shared" si="9"/>
        <v>0.35433051895598255</v>
      </c>
      <c r="X20" s="5">
        <f t="shared" si="10"/>
        <v>2.8222237332151088</v>
      </c>
      <c r="Y20" s="5">
        <f t="shared" si="11"/>
        <v>664.08509553748706</v>
      </c>
      <c r="Z20" s="5">
        <f t="shared" si="12"/>
        <v>1.5058311151986256E-3</v>
      </c>
      <c r="AA20" s="5">
        <f t="shared" si="13"/>
        <v>3.8805039816995748E-2</v>
      </c>
      <c r="AB20" s="5">
        <f t="shared" si="14"/>
        <v>3.8799983616445488E-2</v>
      </c>
      <c r="AC20" s="5">
        <f t="shared" si="15"/>
        <v>32.473258287947885</v>
      </c>
      <c r="AD20" s="5">
        <f t="shared" si="16"/>
        <v>6.2564382526202769</v>
      </c>
      <c r="AE20" s="5">
        <v>905.11705016101223</v>
      </c>
      <c r="AF20" s="5">
        <v>19.12596088554373</v>
      </c>
      <c r="AG20" s="5">
        <f t="shared" si="17"/>
        <v>3.0570046587662767</v>
      </c>
      <c r="AH20" s="21">
        <f t="shared" si="18"/>
        <v>1410973.4125051908</v>
      </c>
      <c r="AI20" s="21">
        <f t="shared" si="19"/>
        <v>0.20095501506303237</v>
      </c>
      <c r="AJ20" s="21">
        <f t="shared" si="20"/>
        <v>64.168245114571661</v>
      </c>
      <c r="AK20" s="21">
        <f t="shared" si="21"/>
        <v>0.44828006320048674</v>
      </c>
      <c r="AL20" s="21">
        <f t="shared" si="22"/>
        <v>2.2307483247426165</v>
      </c>
      <c r="AM20" s="21">
        <f t="shared" si="23"/>
        <v>170.11723870063753</v>
      </c>
      <c r="AN20" s="21">
        <f t="shared" si="24"/>
        <v>5.8782990344661201E-3</v>
      </c>
      <c r="AO20" s="21">
        <f t="shared" si="25"/>
        <v>7.6670066091442238E-2</v>
      </c>
      <c r="AP20" s="21">
        <f t="shared" si="26"/>
        <v>7.6666097782581502E-2</v>
      </c>
      <c r="AQ20" s="21">
        <f t="shared" si="27"/>
        <v>64.164923878153758</v>
      </c>
      <c r="AV20" s="79"/>
      <c r="AW20" s="58"/>
      <c r="AX20" s="7"/>
      <c r="AY20" s="8"/>
      <c r="AZ20" s="9"/>
    </row>
    <row r="21" spans="1:54" ht="15" x14ac:dyDescent="0.25">
      <c r="A21" s="21"/>
      <c r="B21" s="5"/>
      <c r="C21" s="5"/>
      <c r="D21" s="5"/>
      <c r="E21" s="24"/>
      <c r="F21" s="25"/>
      <c r="G21" s="30"/>
      <c r="H21" s="30"/>
      <c r="I21" s="25"/>
      <c r="J21" s="25"/>
      <c r="K21" s="25"/>
      <c r="L21" s="25"/>
      <c r="M21" s="25"/>
      <c r="N21" s="25"/>
      <c r="O21" s="25"/>
      <c r="P21" s="25">
        <f t="shared" si="5"/>
        <v>8.345420767121789</v>
      </c>
      <c r="Q21" s="59">
        <v>1207.3295255373434</v>
      </c>
      <c r="R21" s="59">
        <v>19.738523016933872</v>
      </c>
      <c r="S21" s="5"/>
      <c r="T21" s="24">
        <f t="shared" si="6"/>
        <v>1882087.9137816038</v>
      </c>
      <c r="U21" s="5">
        <f t="shared" si="7"/>
        <v>0.11655961037612859</v>
      </c>
      <c r="V21" s="5">
        <f t="shared" si="8"/>
        <v>28.719185557838642</v>
      </c>
      <c r="W21" s="5">
        <f t="shared" si="9"/>
        <v>0.34140827520159583</v>
      </c>
      <c r="X21" s="5">
        <f t="shared" si="10"/>
        <v>2.9290444099795674</v>
      </c>
      <c r="Y21" s="5">
        <f t="shared" si="11"/>
        <v>849.26731476686462</v>
      </c>
      <c r="Z21" s="5">
        <f t="shared" si="12"/>
        <v>1.1774855603321006E-3</v>
      </c>
      <c r="AA21" s="5">
        <f t="shared" si="13"/>
        <v>3.4314509472409785E-2</v>
      </c>
      <c r="AB21" s="5">
        <f t="shared" si="14"/>
        <v>3.4310603224771079E-2</v>
      </c>
      <c r="AC21" s="5">
        <f t="shared" si="15"/>
        <v>28.715916262939906</v>
      </c>
      <c r="AD21" s="5">
        <f t="shared" si="16"/>
        <v>8.3293308833049373</v>
      </c>
      <c r="AE21" s="5">
        <v>1205.0018068594452</v>
      </c>
      <c r="AF21" s="5">
        <v>30.895217730012416</v>
      </c>
      <c r="AG21" s="5">
        <f t="shared" si="17"/>
        <v>3.7092076377873124</v>
      </c>
      <c r="AH21" s="21">
        <f t="shared" si="18"/>
        <v>1878459.267999578</v>
      </c>
      <c r="AI21" s="21">
        <f t="shared" si="19"/>
        <v>0.18314747758085548</v>
      </c>
      <c r="AJ21" s="21">
        <f t="shared" si="20"/>
        <v>56.800682025405948</v>
      </c>
      <c r="AK21" s="21">
        <f t="shared" si="21"/>
        <v>0.42795733149562409</v>
      </c>
      <c r="AL21" s="21">
        <f t="shared" si="22"/>
        <v>2.3366815483805423</v>
      </c>
      <c r="AM21" s="21">
        <f t="shared" si="23"/>
        <v>217.11086037153854</v>
      </c>
      <c r="AN21" s="21">
        <f t="shared" si="24"/>
        <v>4.6059418597886584E-3</v>
      </c>
      <c r="AO21" s="21">
        <f t="shared" si="25"/>
        <v>6.7867089666410904E-2</v>
      </c>
      <c r="AP21" s="21">
        <f t="shared" si="26"/>
        <v>6.7863967389134874E-2</v>
      </c>
      <c r="AQ21" s="21">
        <f t="shared" si="27"/>
        <v>56.798068866662547</v>
      </c>
      <c r="AV21" s="79"/>
      <c r="AW21" s="58"/>
      <c r="AX21" s="7"/>
      <c r="AY21" s="8"/>
      <c r="AZ21" s="9"/>
    </row>
    <row r="22" spans="1:54" ht="15" x14ac:dyDescent="0.25">
      <c r="A22" s="21"/>
      <c r="B22" s="5"/>
      <c r="C22" s="5"/>
      <c r="D22" s="5"/>
      <c r="E22" s="24"/>
      <c r="F22" s="25"/>
      <c r="G22" s="30"/>
      <c r="H22" s="30"/>
      <c r="I22" s="25"/>
      <c r="J22" s="25"/>
      <c r="K22" s="25"/>
      <c r="L22" s="25"/>
      <c r="M22" s="25"/>
      <c r="N22" s="25"/>
      <c r="O22" s="25"/>
      <c r="P22" s="25">
        <f t="shared" si="5"/>
        <v>9.6983463886993135</v>
      </c>
      <c r="Q22" s="59">
        <v>1403.0568704330824</v>
      </c>
      <c r="R22" s="59">
        <v>26.188630704685171</v>
      </c>
      <c r="S22" s="5"/>
      <c r="T22" s="24">
        <f t="shared" si="6"/>
        <v>2187204.3401034744</v>
      </c>
      <c r="U22" s="5">
        <f t="shared" si="7"/>
        <v>0.11451102966251633</v>
      </c>
      <c r="V22" s="5">
        <f t="shared" si="8"/>
        <v>27.869564197982726</v>
      </c>
      <c r="W22" s="5">
        <f t="shared" si="9"/>
        <v>0.33839478374011078</v>
      </c>
      <c r="X22" s="5">
        <f t="shared" si="10"/>
        <v>2.9551282940815247</v>
      </c>
      <c r="Y22" s="5">
        <f t="shared" si="11"/>
        <v>901.83750831039902</v>
      </c>
      <c r="Z22" s="5">
        <f t="shared" si="12"/>
        <v>1.1088472044964168E-3</v>
      </c>
      <c r="AA22" s="5">
        <f t="shared" si="13"/>
        <v>3.3299357418671259E-2</v>
      </c>
      <c r="AB22" s="5">
        <f t="shared" si="14"/>
        <v>3.3295966161676134E-2</v>
      </c>
      <c r="AC22" s="5">
        <f t="shared" si="15"/>
        <v>27.866725919353222</v>
      </c>
      <c r="AD22" s="5">
        <f t="shared" si="16"/>
        <v>9.6994729570249785</v>
      </c>
      <c r="AE22" s="5">
        <v>1403.2198507357016</v>
      </c>
      <c r="AF22" s="5">
        <v>40.434249344840929</v>
      </c>
      <c r="AG22" s="5">
        <f t="shared" si="17"/>
        <v>4.1687058177275356</v>
      </c>
      <c r="AH22" s="21">
        <f t="shared" si="18"/>
        <v>2187458.4076560815</v>
      </c>
      <c r="AI22" s="21">
        <f t="shared" si="19"/>
        <v>0.17675960523326739</v>
      </c>
      <c r="AJ22" s="21">
        <f t="shared" si="20"/>
        <v>54.128964821534694</v>
      </c>
      <c r="AK22" s="21">
        <f t="shared" si="21"/>
        <v>0.420427883510677</v>
      </c>
      <c r="AL22" s="21">
        <f t="shared" si="22"/>
        <v>2.3785292061262737</v>
      </c>
      <c r="AM22" s="21">
        <f t="shared" si="23"/>
        <v>239.07227050627898</v>
      </c>
      <c r="AN22" s="21">
        <f t="shared" si="24"/>
        <v>4.182835583074182E-3</v>
      </c>
      <c r="AO22" s="21">
        <f t="shared" si="25"/>
        <v>6.4674845056437377E-2</v>
      </c>
      <c r="AP22" s="21">
        <f t="shared" si="26"/>
        <v>6.4672115812175412E-2</v>
      </c>
      <c r="AQ22" s="21">
        <f t="shared" si="27"/>
        <v>54.12668060784209</v>
      </c>
      <c r="AV22" s="79"/>
      <c r="AW22" s="58"/>
      <c r="AX22" s="7"/>
      <c r="AY22" s="8"/>
      <c r="AZ22" s="9"/>
    </row>
    <row r="23" spans="1:54" ht="15" x14ac:dyDescent="0.25">
      <c r="A23" s="21" t="s">
        <v>68</v>
      </c>
      <c r="B23" s="5"/>
      <c r="C23" s="5"/>
      <c r="D23" s="5"/>
      <c r="E23" s="24"/>
      <c r="F23" s="25"/>
      <c r="G23" s="34" t="e">
        <f>AVERAGE(G14:G18)</f>
        <v>#DIV/0!</v>
      </c>
      <c r="H23" s="25"/>
      <c r="I23" s="25"/>
      <c r="J23" s="25"/>
      <c r="K23" s="25"/>
      <c r="L23" s="25"/>
      <c r="M23" s="25"/>
      <c r="N23" s="25"/>
      <c r="O23" s="34" t="e">
        <f>AVERAGE(O14:O18)</f>
        <v>#DIV/0!</v>
      </c>
      <c r="P23" s="25"/>
      <c r="Q23" s="5"/>
      <c r="R23" s="5"/>
      <c r="S23" s="5"/>
      <c r="T23" s="5"/>
      <c r="U23" s="5"/>
      <c r="V23" s="35">
        <f>AVERAGE(V21:V22)</f>
        <v>28.294374877910684</v>
      </c>
      <c r="W23" s="5"/>
      <c r="X23" s="5"/>
      <c r="Y23" s="5"/>
      <c r="Z23" s="5"/>
      <c r="AA23" s="5"/>
      <c r="AB23" s="5"/>
      <c r="AC23" s="5">
        <f>AVERAGE(AC21:AC22)</f>
        <v>28.291321091146564</v>
      </c>
      <c r="AD23" s="5"/>
      <c r="AE23" s="5"/>
      <c r="AF23" s="5"/>
      <c r="AG23" s="5"/>
      <c r="AJ23" s="37">
        <f>AVERAGE(AJ21:AJ22)</f>
        <v>55.464823423470321</v>
      </c>
      <c r="AQ23" s="28">
        <f>AVERAGE(AQ21:AQ22)</f>
        <v>55.462374737252318</v>
      </c>
      <c r="AV23" s="79"/>
      <c r="AW23" s="58"/>
      <c r="AX23" s="7"/>
      <c r="AY23" s="8"/>
      <c r="AZ23" s="9"/>
    </row>
    <row r="24" spans="1:54" ht="15" x14ac:dyDescent="0.25">
      <c r="A24" s="21" t="s">
        <v>69</v>
      </c>
      <c r="B24" s="5"/>
      <c r="C24" s="5"/>
      <c r="D24" s="5"/>
      <c r="E24" s="24"/>
      <c r="F24" s="25"/>
      <c r="G24" s="34" t="e">
        <f>STDEV(G14:G23)</f>
        <v>#DIV/0!</v>
      </c>
      <c r="H24" s="25"/>
      <c r="I24" s="25"/>
      <c r="J24" s="25"/>
      <c r="K24" s="25"/>
      <c r="L24" s="25"/>
      <c r="M24" s="25"/>
      <c r="N24" s="25"/>
      <c r="O24" s="34" t="e">
        <f>STDEV(O14:O23)</f>
        <v>#DIV/0!</v>
      </c>
      <c r="P24" s="25"/>
      <c r="Q24" s="5"/>
      <c r="R24" s="5"/>
      <c r="S24" s="5"/>
      <c r="T24" s="5"/>
      <c r="U24" s="5"/>
      <c r="V24" s="35">
        <f>STDEV(V21:V22)</f>
        <v>0.60077302499505458</v>
      </c>
      <c r="W24" s="5"/>
      <c r="X24" s="5"/>
      <c r="Y24" s="5"/>
      <c r="Z24" s="5"/>
      <c r="AA24" s="5"/>
      <c r="AB24" s="5"/>
      <c r="AC24" s="5">
        <f>STDEV(AC21:AC22)</f>
        <v>0.6004682504682789</v>
      </c>
      <c r="AD24" s="5"/>
      <c r="AE24" s="5"/>
      <c r="AF24" s="5"/>
      <c r="AG24" s="5"/>
      <c r="AJ24" s="20">
        <f>STDEV(AJ21:AJ22)</f>
        <v>1.8891893522701249</v>
      </c>
      <c r="AQ24" s="28">
        <f>STDEV(AQ21:AQ22)</f>
        <v>1.888956752994069</v>
      </c>
      <c r="AV24" s="79"/>
      <c r="AW24" s="58"/>
      <c r="AX24" s="7"/>
      <c r="AY24" s="8"/>
      <c r="AZ24" s="9"/>
    </row>
    <row r="25" spans="1:54" x14ac:dyDescent="0.2">
      <c r="B25" s="85">
        <v>0.5</v>
      </c>
      <c r="C25" s="86"/>
      <c r="D25" s="86"/>
      <c r="E25" s="86"/>
      <c r="F25" s="86"/>
      <c r="G25" s="86"/>
      <c r="H25" s="86"/>
      <c r="I25" s="86"/>
      <c r="J25" s="86"/>
      <c r="K25" s="86"/>
      <c r="L25" s="86"/>
      <c r="M25" s="86"/>
      <c r="N25" s="86"/>
      <c r="O25" s="86"/>
      <c r="P25" s="86"/>
      <c r="Q25" s="86"/>
      <c r="R25" s="86"/>
      <c r="S25" s="86"/>
      <c r="T25" s="86"/>
      <c r="U25" s="86"/>
      <c r="V25" s="86"/>
      <c r="W25" s="86"/>
      <c r="X25" s="86"/>
      <c r="Y25" s="86"/>
      <c r="Z25" s="86"/>
      <c r="AA25" s="86"/>
      <c r="AB25" s="86"/>
      <c r="AC25" s="86"/>
      <c r="AD25" s="86"/>
      <c r="AE25" s="86"/>
      <c r="AF25" s="86"/>
      <c r="AG25" s="86"/>
      <c r="AQ25" s="28"/>
    </row>
    <row r="26" spans="1:54" ht="15.75" x14ac:dyDescent="0.25">
      <c r="B26" s="84" t="s">
        <v>41</v>
      </c>
      <c r="C26" s="84"/>
      <c r="D26" s="84"/>
      <c r="E26" s="62"/>
      <c r="F26" s="62"/>
      <c r="G26" s="62" t="s">
        <v>72</v>
      </c>
      <c r="H26" s="62"/>
      <c r="I26" s="62"/>
      <c r="J26" s="62"/>
      <c r="K26" s="62"/>
      <c r="L26" s="62"/>
      <c r="M26" s="62"/>
      <c r="N26" s="62"/>
      <c r="O26" s="62"/>
      <c r="P26" s="62"/>
      <c r="Q26" s="84" t="s">
        <v>42</v>
      </c>
      <c r="R26" s="84"/>
      <c r="S26" s="84"/>
      <c r="T26" s="62"/>
      <c r="U26" s="62"/>
      <c r="V26" s="62" t="s">
        <v>72</v>
      </c>
      <c r="W26" s="62"/>
      <c r="X26" s="62"/>
      <c r="Y26" s="62"/>
      <c r="Z26" s="62"/>
      <c r="AA26" s="62"/>
      <c r="AB26" s="62"/>
      <c r="AC26" s="62"/>
      <c r="AD26" s="62"/>
      <c r="AE26" s="84" t="s">
        <v>43</v>
      </c>
      <c r="AF26" s="84"/>
      <c r="AG26" s="84"/>
      <c r="AJ26" s="1" t="s">
        <v>72</v>
      </c>
      <c r="AQ26" s="28"/>
      <c r="AV26" s="12"/>
      <c r="AW26" s="12"/>
      <c r="AX26" s="12"/>
      <c r="AY26" s="12"/>
      <c r="AZ26" s="12"/>
    </row>
    <row r="27" spans="1:54" ht="15.75" x14ac:dyDescent="0.25">
      <c r="A27" s="20" t="s">
        <v>55</v>
      </c>
      <c r="B27" s="3" t="s">
        <v>8</v>
      </c>
      <c r="C27" s="4" t="s">
        <v>9</v>
      </c>
      <c r="D27" s="3" t="s">
        <v>88</v>
      </c>
      <c r="E27" s="3" t="s">
        <v>56</v>
      </c>
      <c r="F27" s="3" t="s">
        <v>57</v>
      </c>
      <c r="G27" s="3" t="s">
        <v>74</v>
      </c>
      <c r="H27" s="3"/>
      <c r="I27" s="3" t="s">
        <v>61</v>
      </c>
      <c r="J27" s="3" t="s">
        <v>62</v>
      </c>
      <c r="K27" s="3" t="s">
        <v>63</v>
      </c>
      <c r="L27" s="3" t="s">
        <v>65</v>
      </c>
      <c r="M27" s="3" t="s">
        <v>64</v>
      </c>
      <c r="N27" s="3" t="s">
        <v>66</v>
      </c>
      <c r="O27" s="3" t="s">
        <v>67</v>
      </c>
      <c r="P27" s="3" t="s">
        <v>55</v>
      </c>
      <c r="Q27" s="3" t="s">
        <v>8</v>
      </c>
      <c r="R27" s="4" t="s">
        <v>9</v>
      </c>
      <c r="S27" s="3" t="s">
        <v>88</v>
      </c>
      <c r="T27" s="3" t="s">
        <v>56</v>
      </c>
      <c r="U27" s="3" t="s">
        <v>57</v>
      </c>
      <c r="V27" s="3" t="s">
        <v>74</v>
      </c>
      <c r="W27" s="3" t="s">
        <v>61</v>
      </c>
      <c r="X27" s="3" t="s">
        <v>62</v>
      </c>
      <c r="Y27" s="3" t="s">
        <v>63</v>
      </c>
      <c r="Z27" s="3" t="s">
        <v>65</v>
      </c>
      <c r="AA27" s="3" t="s">
        <v>64</v>
      </c>
      <c r="AB27" s="3" t="s">
        <v>66</v>
      </c>
      <c r="AC27" s="3" t="s">
        <v>67</v>
      </c>
      <c r="AD27" s="3" t="s">
        <v>55</v>
      </c>
      <c r="AE27" s="3" t="s">
        <v>8</v>
      </c>
      <c r="AF27" s="4" t="s">
        <v>9</v>
      </c>
      <c r="AG27" s="3" t="s">
        <v>88</v>
      </c>
      <c r="AH27" s="27" t="s">
        <v>56</v>
      </c>
      <c r="AI27" s="27" t="s">
        <v>57</v>
      </c>
      <c r="AJ27" s="27" t="s">
        <v>74</v>
      </c>
      <c r="AK27" s="16" t="s">
        <v>61</v>
      </c>
      <c r="AL27" s="16" t="s">
        <v>62</v>
      </c>
      <c r="AM27" s="16" t="s">
        <v>63</v>
      </c>
      <c r="AN27" s="16" t="s">
        <v>65</v>
      </c>
      <c r="AO27" s="16" t="s">
        <v>64</v>
      </c>
      <c r="AP27" s="16" t="s">
        <v>66</v>
      </c>
      <c r="AQ27" s="17" t="s">
        <v>67</v>
      </c>
      <c r="AV27" s="12"/>
      <c r="AW27" s="12"/>
      <c r="AX27" s="12"/>
      <c r="AY27" s="12"/>
      <c r="AZ27" s="12"/>
    </row>
    <row r="28" spans="1:54" ht="15.75" x14ac:dyDescent="0.25">
      <c r="A28" s="21">
        <f t="shared" ref="A28:A37" si="29">(B28/3600)/(PI()*(S$5/1000/2)^2)</f>
        <v>0</v>
      </c>
      <c r="B28" s="59"/>
      <c r="C28" s="59"/>
      <c r="D28" s="5" t="e">
        <f>C28/A28</f>
        <v>#DIV/0!</v>
      </c>
      <c r="E28" s="30">
        <f t="shared" ref="E28:E37" si="30">A28*S$5/1000/AX$2</f>
        <v>0</v>
      </c>
      <c r="F28" s="15" t="e">
        <f>(C28/$AU$2*($S$5/1000)*2*$AU$2)/((A28^2)*$AT$2)</f>
        <v>#DIV/0!</v>
      </c>
      <c r="G28" s="30" t="e">
        <f>((3.7^2)/(10^(1/(F28^0.5))))^0.5*$S$5</f>
        <v>#DIV/0!</v>
      </c>
      <c r="H28" s="30"/>
      <c r="I28" s="15" t="e">
        <f t="shared" ref="I28:I37" si="31">F28^0.5</f>
        <v>#DIV/0!</v>
      </c>
      <c r="J28" s="15" t="e">
        <f t="shared" ref="J28:J37" si="32">1/I28</f>
        <v>#DIV/0!</v>
      </c>
      <c r="K28" s="15" t="e">
        <f t="shared" ref="K28:K37" si="33">10^J28</f>
        <v>#DIV/0!</v>
      </c>
      <c r="L28" s="15" t="e">
        <f t="shared" ref="L28:L37" si="34">1/K28</f>
        <v>#DIV/0!</v>
      </c>
      <c r="M28" s="15" t="e">
        <f t="shared" ref="M28:M37" si="35">L28^0.5</f>
        <v>#DIV/0!</v>
      </c>
      <c r="N28" s="15" t="e">
        <f>IF(M28-(2.51/(E28*I28))&gt;0, M28-(2.51/(E28*I28)), M28)</f>
        <v>#DIV/0!</v>
      </c>
      <c r="O28" s="15" t="e">
        <f>N28*3.7*S$5</f>
        <v>#DIV/0!</v>
      </c>
      <c r="P28" s="15">
        <f>(Q28/3600)/(PI()*($S$5/1000/2)^2)</f>
        <v>0.62138118174973778</v>
      </c>
      <c r="Q28" s="59">
        <v>89.89502965450616</v>
      </c>
      <c r="R28" s="59">
        <v>2.2641300000000002</v>
      </c>
      <c r="S28" s="5">
        <v>0.77706981794201313</v>
      </c>
      <c r="T28" s="5">
        <f>P28*$S$5/1000/$AX$2</f>
        <v>140136.0152659927</v>
      </c>
      <c r="U28" s="5">
        <f>(R28/$AU$2*($S$5/1000)*2*$AU$2)/((P28^2)*$AT$2)</f>
        <v>2.4116544285966057</v>
      </c>
      <c r="V28" s="30">
        <f>((3.7^2)/(10^(1/(U28^0.5))))^0.5*$S$5</f>
        <v>398.77369780340075</v>
      </c>
      <c r="W28" s="5">
        <f t="shared" ref="W28:W36" si="36">U28^0.5</f>
        <v>1.5529502337797583</v>
      </c>
      <c r="X28" s="5">
        <f t="shared" ref="X28:X36" si="37">1/W28</f>
        <v>0.64393563827610811</v>
      </c>
      <c r="Y28" s="5">
        <f t="shared" ref="Y28:Y36" si="38">10^X28</f>
        <v>4.404895788421217</v>
      </c>
      <c r="Z28" s="5">
        <f t="shared" ref="Z28:Z36" si="39">1/Y28</f>
        <v>0.22702012670279664</v>
      </c>
      <c r="AA28" s="5">
        <f t="shared" ref="AA28:AA36" si="40">Z28^0.5</f>
        <v>0.47646629125552697</v>
      </c>
      <c r="AB28" s="5">
        <f>IF(AA28-(2.51/(T28*W28))&gt;0, AA28-(2.51/(T28*W28)), AA28)</f>
        <v>0.47645475761480655</v>
      </c>
      <c r="AC28" s="30">
        <f>AB28*3.7*$S$5</f>
        <v>398.76404483813621</v>
      </c>
      <c r="AD28" s="5">
        <f>(AE28/3600)/(PI()*($S$5/1000/2)^2)</f>
        <v>0.62576859518800243</v>
      </c>
      <c r="AE28" s="5">
        <v>90.529755443962443</v>
      </c>
      <c r="AF28" s="5">
        <v>2.4067850000000002</v>
      </c>
      <c r="AG28" s="5">
        <f>AF28/AD28</f>
        <v>3.8461262174349273</v>
      </c>
      <c r="AH28" s="1">
        <f t="shared" ref="AH28:AH35" si="41">AD28*$S$5/1000/$AX$2</f>
        <v>141125.47979214968</v>
      </c>
      <c r="AI28" s="21">
        <f>(AF28/$AU$2*($S$5/1000)*2*$AU$2)/((AD28^2)*$AT$2)</f>
        <v>2.5277823640292647</v>
      </c>
      <c r="AJ28" s="22">
        <f>((3.7^2)/(10^(1/(AI28^0.5))))^0.5*$S$5</f>
        <v>405.70387792374868</v>
      </c>
      <c r="AK28" s="1">
        <f t="shared" ref="AK28:AK49" si="42">AI28^0.5</f>
        <v>1.589900111336956</v>
      </c>
      <c r="AL28" s="1">
        <f t="shared" ref="AL28:AL49" si="43">1/AK28</f>
        <v>0.62897033145000181</v>
      </c>
      <c r="AM28" s="1">
        <f t="shared" ref="AM28:AM49" si="44">10^AL28</f>
        <v>4.255693396432056</v>
      </c>
      <c r="AN28" s="1">
        <f t="shared" ref="AN28:AN49" si="45">1/AM28</f>
        <v>0.23497933399957646</v>
      </c>
      <c r="AO28" s="1">
        <f t="shared" ref="AO28:AO49" si="46">AN28^0.5</f>
        <v>0.48474666992107995</v>
      </c>
      <c r="AP28" s="1">
        <f>IF(AO28-(2.51/(AH28*AK28))&gt;0, AO28-(2.51/(AH28*AK28)), AO28)</f>
        <v>0.4847354833122956</v>
      </c>
      <c r="AQ28" s="28">
        <f t="shared" ref="AQ28:AQ35" si="47">AP28*3.7*S$5</f>
        <v>405.6945154033927</v>
      </c>
      <c r="AV28" s="12"/>
      <c r="AW28" s="13"/>
      <c r="AX28" s="13"/>
      <c r="AY28" s="13"/>
      <c r="AZ28" s="13"/>
    </row>
    <row r="29" spans="1:54" ht="15.75" x14ac:dyDescent="0.25">
      <c r="A29" s="21">
        <f t="shared" si="29"/>
        <v>0</v>
      </c>
      <c r="B29" s="59"/>
      <c r="C29" s="59"/>
      <c r="D29" s="5" t="e">
        <f t="shared" ref="D29:D37" si="48">C29/A29</f>
        <v>#DIV/0!</v>
      </c>
      <c r="E29" s="30">
        <f t="shared" si="30"/>
        <v>0</v>
      </c>
      <c r="F29" s="15" t="e">
        <f t="shared" ref="F29:F37" si="49">(C29/$AU$2*($S$5/1000)*2*$AU$2)/((A29^2)*$AT$2)</f>
        <v>#DIV/0!</v>
      </c>
      <c r="G29" s="30" t="e">
        <f t="shared" ref="G29:G37" si="50">((3.7^2)/(10^(1/(F29^0.5))))^0.5*$S$5</f>
        <v>#DIV/0!</v>
      </c>
      <c r="H29" s="30"/>
      <c r="I29" s="15" t="e">
        <f t="shared" si="31"/>
        <v>#DIV/0!</v>
      </c>
      <c r="J29" s="15" t="e">
        <f t="shared" si="32"/>
        <v>#DIV/0!</v>
      </c>
      <c r="K29" s="15" t="e">
        <f t="shared" si="33"/>
        <v>#DIV/0!</v>
      </c>
      <c r="L29" s="15" t="e">
        <f t="shared" si="34"/>
        <v>#DIV/0!</v>
      </c>
      <c r="M29" s="15" t="e">
        <f t="shared" si="35"/>
        <v>#DIV/0!</v>
      </c>
      <c r="N29" s="15" t="e">
        <f t="shared" ref="N29:N37" si="51">IF(M29-(2.51/(E29*I29))&gt;0, M29-(2.51/(E29*I29)), M29)</f>
        <v>#DIV/0!</v>
      </c>
      <c r="O29" s="15" t="e">
        <f t="shared" ref="O29:O37" si="52">N29*3.7*S$5</f>
        <v>#DIV/0!</v>
      </c>
      <c r="P29" s="15">
        <f t="shared" ref="P29:P36" si="53">(Q29/3600)/(PI()*($S$5/1000/2)^2)</f>
        <v>1.24185014640083</v>
      </c>
      <c r="Q29" s="59">
        <v>179.65808913427486</v>
      </c>
      <c r="R29" s="59">
        <v>2.7637909999999999</v>
      </c>
      <c r="S29" s="5">
        <v>0.75590635925601335</v>
      </c>
      <c r="T29" s="5">
        <f t="shared" ref="T29:T36" si="54">P29*$S$5/1000/$AX$2</f>
        <v>280066.30420325795</v>
      </c>
      <c r="U29" s="5">
        <f t="shared" ref="U29:U36" si="55">(R29/$AU$2*($S$5/1000)*2*$AU$2)/((P29^2)*$AT$2)</f>
        <v>0.73704961497991972</v>
      </c>
      <c r="V29" s="30">
        <f t="shared" ref="V29:V36" si="56">((3.7^2)/(10^(1/(U29^0.5))))^0.5*$S$5</f>
        <v>218.92429219611225</v>
      </c>
      <c r="W29" s="5">
        <f t="shared" si="36"/>
        <v>0.85851593752237343</v>
      </c>
      <c r="X29" s="5">
        <f t="shared" si="37"/>
        <v>1.1648007407829157</v>
      </c>
      <c r="Y29" s="5">
        <f t="shared" si="38"/>
        <v>14.6150646491856</v>
      </c>
      <c r="Z29" s="5">
        <f t="shared" si="39"/>
        <v>6.8422550567076926E-2</v>
      </c>
      <c r="AA29" s="5">
        <f t="shared" si="40"/>
        <v>0.26157704518377933</v>
      </c>
      <c r="AB29" s="5">
        <f t="shared" ref="AB29:AB36" si="57">IF(AA29-(2.51/(T29*W29))&gt;0, AA29-(2.51/(T29*W29)), AA29)</f>
        <v>0.2615666060491334</v>
      </c>
      <c r="AC29" s="30">
        <f t="shared" ref="AC29:AC36" si="58">AB29*3.7*$S$5</f>
        <v>218.91555526676171</v>
      </c>
      <c r="AD29" s="5">
        <f t="shared" ref="AD29:AD35" si="59">(AE29/3600)/(PI()*($S$5/1000/2)^2)</f>
        <v>1.2444687059710406</v>
      </c>
      <c r="AE29" s="5">
        <v>180.03691536385801</v>
      </c>
      <c r="AF29" s="5">
        <v>2.9820099999999998</v>
      </c>
      <c r="AG29" s="5">
        <f t="shared" ref="AG29:AG35" si="60">AF29/AD29</f>
        <v>2.3962113194908996</v>
      </c>
      <c r="AH29" s="1">
        <f t="shared" si="41"/>
        <v>280656.85073843412</v>
      </c>
      <c r="AI29" s="21">
        <f t="shared" ref="AI29:AI35" si="61">(AF29/$AU$2*($S$5/1000)*2*$AU$2)/((AD29^2)*$AT$2)</f>
        <v>0.79190128266008442</v>
      </c>
      <c r="AJ29" s="22">
        <f t="shared" ref="AJ29:AJ35" si="62">((3.7^2)/(10^(1/(AI29^0.5))))^0.5*$S$5</f>
        <v>229.52293477648763</v>
      </c>
      <c r="AK29" s="1">
        <f t="shared" si="42"/>
        <v>0.8898883540422835</v>
      </c>
      <c r="AL29" s="1">
        <f t="shared" si="43"/>
        <v>1.1237364726232664</v>
      </c>
      <c r="AM29" s="1">
        <f t="shared" si="44"/>
        <v>13.296473508281741</v>
      </c>
      <c r="AN29" s="1">
        <f t="shared" si="45"/>
        <v>7.5207911283931603E-2</v>
      </c>
      <c r="AO29" s="1">
        <f t="shared" si="46"/>
        <v>0.27424060837872205</v>
      </c>
      <c r="AP29" s="1">
        <f t="shared" ref="AP29:AP35" si="63">IF(AO29-(2.51/(AH29*AK29))&gt;0, AO29-(2.51/(AH29*AK29)), AO29)</f>
        <v>0.27423055845997302</v>
      </c>
      <c r="AQ29" s="28">
        <f t="shared" si="47"/>
        <v>229.51452359748981</v>
      </c>
      <c r="AV29" s="12"/>
      <c r="AW29" s="13"/>
      <c r="AX29" s="13"/>
      <c r="AY29" s="13"/>
      <c r="AZ29" s="13"/>
    </row>
    <row r="30" spans="1:54" ht="15.75" x14ac:dyDescent="0.25">
      <c r="A30" s="21">
        <f t="shared" si="29"/>
        <v>0</v>
      </c>
      <c r="B30" s="59"/>
      <c r="C30" s="59"/>
      <c r="D30" s="5" t="e">
        <f t="shared" si="48"/>
        <v>#DIV/0!</v>
      </c>
      <c r="E30" s="30">
        <f t="shared" si="30"/>
        <v>0</v>
      </c>
      <c r="F30" s="15" t="e">
        <f t="shared" si="49"/>
        <v>#DIV/0!</v>
      </c>
      <c r="G30" s="30" t="e">
        <f t="shared" si="50"/>
        <v>#DIV/0!</v>
      </c>
      <c r="H30" s="30"/>
      <c r="I30" s="15" t="e">
        <f t="shared" si="31"/>
        <v>#DIV/0!</v>
      </c>
      <c r="J30" s="15" t="e">
        <f t="shared" si="32"/>
        <v>#DIV/0!</v>
      </c>
      <c r="K30" s="15" t="e">
        <f t="shared" si="33"/>
        <v>#DIV/0!</v>
      </c>
      <c r="L30" s="15" t="e">
        <f t="shared" si="34"/>
        <v>#DIV/0!</v>
      </c>
      <c r="M30" s="15" t="e">
        <f t="shared" si="35"/>
        <v>#DIV/0!</v>
      </c>
      <c r="N30" s="15" t="e">
        <f t="shared" si="51"/>
        <v>#DIV/0!</v>
      </c>
      <c r="O30" s="15" t="e">
        <f t="shared" si="52"/>
        <v>#DIV/0!</v>
      </c>
      <c r="P30" s="15">
        <f t="shared" si="53"/>
        <v>1.8604760322852782</v>
      </c>
      <c r="Q30" s="59">
        <v>269.15451096029852</v>
      </c>
      <c r="R30" s="59">
        <v>3.6674869999999999</v>
      </c>
      <c r="S30" s="5">
        <v>0.42711157198647615</v>
      </c>
      <c r="T30" s="5">
        <f t="shared" si="54"/>
        <v>419580.93569584237</v>
      </c>
      <c r="U30" s="5">
        <f t="shared" si="55"/>
        <v>0.43576298283495407</v>
      </c>
      <c r="V30" s="30">
        <f t="shared" si="56"/>
        <v>146.3053655238524</v>
      </c>
      <c r="W30" s="5">
        <f t="shared" si="36"/>
        <v>0.66012346029735536</v>
      </c>
      <c r="X30" s="5">
        <f t="shared" si="37"/>
        <v>1.5148681423162054</v>
      </c>
      <c r="Y30" s="5">
        <f t="shared" si="38"/>
        <v>32.724132489842752</v>
      </c>
      <c r="Z30" s="5">
        <f t="shared" si="39"/>
        <v>3.0558487694376319E-2</v>
      </c>
      <c r="AA30" s="5">
        <f t="shared" si="40"/>
        <v>0.17480986154784381</v>
      </c>
      <c r="AB30" s="5">
        <f t="shared" si="57"/>
        <v>0.17480079936528561</v>
      </c>
      <c r="AC30" s="30">
        <f t="shared" si="58"/>
        <v>146.29778102078214</v>
      </c>
      <c r="AD30" s="5">
        <f t="shared" si="59"/>
        <v>1.888244213647376</v>
      </c>
      <c r="AE30" s="5">
        <v>273.17172545007179</v>
      </c>
      <c r="AF30" s="5">
        <v>4.4560370000000002</v>
      </c>
      <c r="AG30" s="5">
        <f t="shared" si="60"/>
        <v>2.3598838369495736</v>
      </c>
      <c r="AH30" s="1">
        <f t="shared" si="41"/>
        <v>425843.31119345612</v>
      </c>
      <c r="AI30" s="21">
        <f t="shared" si="61"/>
        <v>0.51399911868090986</v>
      </c>
      <c r="AJ30" s="22">
        <f t="shared" si="62"/>
        <v>167.98994423988589</v>
      </c>
      <c r="AK30" s="1">
        <f t="shared" si="42"/>
        <v>0.71693731851599818</v>
      </c>
      <c r="AL30" s="1">
        <f t="shared" si="43"/>
        <v>1.3948220774305884</v>
      </c>
      <c r="AM30" s="1">
        <f t="shared" si="44"/>
        <v>24.821160190713243</v>
      </c>
      <c r="AN30" s="1">
        <f t="shared" si="45"/>
        <v>4.028820539880109E-2</v>
      </c>
      <c r="AO30" s="1">
        <f t="shared" si="46"/>
        <v>0.20071922030239428</v>
      </c>
      <c r="AP30" s="1">
        <f t="shared" si="63"/>
        <v>0.20071099896059477</v>
      </c>
      <c r="AQ30" s="28">
        <f t="shared" si="47"/>
        <v>167.9830634700802</v>
      </c>
      <c r="AV30" s="12"/>
      <c r="AW30" s="13"/>
      <c r="AX30" s="13"/>
      <c r="AY30" s="13"/>
      <c r="AZ30" s="13"/>
    </row>
    <row r="31" spans="1:54" x14ac:dyDescent="0.2">
      <c r="A31" s="21">
        <f t="shared" si="29"/>
        <v>0</v>
      </c>
      <c r="B31" s="59"/>
      <c r="C31" s="59"/>
      <c r="D31" s="5" t="e">
        <f t="shared" si="48"/>
        <v>#DIV/0!</v>
      </c>
      <c r="E31" s="30">
        <f t="shared" si="30"/>
        <v>0</v>
      </c>
      <c r="F31" s="15" t="e">
        <f t="shared" si="49"/>
        <v>#DIV/0!</v>
      </c>
      <c r="G31" s="30" t="e">
        <f t="shared" si="50"/>
        <v>#DIV/0!</v>
      </c>
      <c r="H31" s="30"/>
      <c r="I31" s="15" t="e">
        <f t="shared" si="31"/>
        <v>#DIV/0!</v>
      </c>
      <c r="J31" s="15" t="e">
        <f t="shared" si="32"/>
        <v>#DIV/0!</v>
      </c>
      <c r="K31" s="15" t="e">
        <f t="shared" si="33"/>
        <v>#DIV/0!</v>
      </c>
      <c r="L31" s="15" t="e">
        <f t="shared" si="34"/>
        <v>#DIV/0!</v>
      </c>
      <c r="M31" s="15" t="e">
        <f t="shared" si="35"/>
        <v>#DIV/0!</v>
      </c>
      <c r="N31" s="15" t="e">
        <f t="shared" si="51"/>
        <v>#DIV/0!</v>
      </c>
      <c r="O31" s="15" t="e">
        <f t="shared" si="52"/>
        <v>#DIV/0!</v>
      </c>
      <c r="P31" s="15">
        <f t="shared" si="53"/>
        <v>2.4901351127392748</v>
      </c>
      <c r="Q31" s="59">
        <v>360.24710174370932</v>
      </c>
      <c r="R31" s="59">
        <v>4.6617649999999999</v>
      </c>
      <c r="S31" s="5">
        <v>0.42330258821362388</v>
      </c>
      <c r="T31" s="5">
        <f t="shared" si="54"/>
        <v>561583.81106841867</v>
      </c>
      <c r="U31" s="5">
        <f t="shared" si="55"/>
        <v>0.30919642480893755</v>
      </c>
      <c r="V31" s="30">
        <f t="shared" si="56"/>
        <v>105.56054517664354</v>
      </c>
      <c r="W31" s="5">
        <f t="shared" si="36"/>
        <v>0.5560543362019017</v>
      </c>
      <c r="X31" s="5">
        <f t="shared" si="37"/>
        <v>1.7983854003017845</v>
      </c>
      <c r="Y31" s="5">
        <f t="shared" si="38"/>
        <v>62.86159558454149</v>
      </c>
      <c r="Z31" s="5">
        <f t="shared" si="39"/>
        <v>1.5907964007294675E-2</v>
      </c>
      <c r="AA31" s="5">
        <f t="shared" si="40"/>
        <v>0.12612677751887058</v>
      </c>
      <c r="AB31" s="5">
        <f t="shared" si="57"/>
        <v>0.12611873963162065</v>
      </c>
      <c r="AC31" s="30">
        <f t="shared" si="58"/>
        <v>105.55381794728858</v>
      </c>
      <c r="AD31" s="5">
        <f t="shared" si="59"/>
        <v>2.489385219099185</v>
      </c>
      <c r="AE31" s="5">
        <v>360.13861485515605</v>
      </c>
      <c r="AF31" s="5">
        <v>6.4219569427198282</v>
      </c>
      <c r="AG31" s="5">
        <f t="shared" si="60"/>
        <v>2.5797361105259928</v>
      </c>
      <c r="AH31" s="1">
        <f t="shared" si="41"/>
        <v>561414.6924827873</v>
      </c>
      <c r="AI31" s="21">
        <f t="shared" si="61"/>
        <v>0.42619964868430033</v>
      </c>
      <c r="AJ31" s="22">
        <f t="shared" si="62"/>
        <v>143.48599269546938</v>
      </c>
      <c r="AK31" s="1">
        <f t="shared" si="42"/>
        <v>0.65283968069067333</v>
      </c>
      <c r="AL31" s="1">
        <f t="shared" si="43"/>
        <v>1.5317696359112969</v>
      </c>
      <c r="AM31" s="1">
        <f t="shared" si="44"/>
        <v>34.022767387210159</v>
      </c>
      <c r="AN31" s="1">
        <f t="shared" si="45"/>
        <v>2.9392082913746755E-2</v>
      </c>
      <c r="AO31" s="1">
        <f t="shared" si="46"/>
        <v>0.17144119374802183</v>
      </c>
      <c r="AP31" s="1">
        <f t="shared" si="63"/>
        <v>0.17143434543814035</v>
      </c>
      <c r="AQ31" s="28">
        <f t="shared" si="47"/>
        <v>143.48026107099719</v>
      </c>
    </row>
    <row r="32" spans="1:54" ht="15.75" x14ac:dyDescent="0.25">
      <c r="A32" s="21">
        <f t="shared" si="29"/>
        <v>0</v>
      </c>
      <c r="B32" s="59"/>
      <c r="C32" s="60"/>
      <c r="D32" s="5" t="e">
        <f t="shared" si="48"/>
        <v>#DIV/0!</v>
      </c>
      <c r="E32" s="30">
        <f t="shared" si="30"/>
        <v>0</v>
      </c>
      <c r="F32" s="15" t="e">
        <f t="shared" si="49"/>
        <v>#DIV/0!</v>
      </c>
      <c r="G32" s="30" t="e">
        <f t="shared" si="50"/>
        <v>#DIV/0!</v>
      </c>
      <c r="H32" s="30"/>
      <c r="I32" s="15" t="e">
        <f t="shared" si="31"/>
        <v>#DIV/0!</v>
      </c>
      <c r="J32" s="15" t="e">
        <f t="shared" si="32"/>
        <v>#DIV/0!</v>
      </c>
      <c r="K32" s="15" t="e">
        <f t="shared" si="33"/>
        <v>#DIV/0!</v>
      </c>
      <c r="L32" s="15" t="e">
        <f t="shared" si="34"/>
        <v>#DIV/0!</v>
      </c>
      <c r="M32" s="15" t="e">
        <f t="shared" si="35"/>
        <v>#DIV/0!</v>
      </c>
      <c r="N32" s="15" t="e">
        <f t="shared" si="51"/>
        <v>#DIV/0!</v>
      </c>
      <c r="O32" s="15" t="e">
        <f t="shared" si="52"/>
        <v>#DIV/0!</v>
      </c>
      <c r="P32" s="15">
        <f t="shared" si="53"/>
        <v>3.719026252807359</v>
      </c>
      <c r="Q32" s="59">
        <v>538.03041530899327</v>
      </c>
      <c r="R32" s="59">
        <v>8.4769103431575523</v>
      </c>
      <c r="S32" s="5">
        <v>0.47545691597734463</v>
      </c>
      <c r="T32" s="5">
        <f t="shared" si="54"/>
        <v>838727.55571787094</v>
      </c>
      <c r="U32" s="5">
        <f t="shared" si="55"/>
        <v>0.25206294888540992</v>
      </c>
      <c r="V32" s="30">
        <f t="shared" si="56"/>
        <v>84.487967432788764</v>
      </c>
      <c r="W32" s="5">
        <f t="shared" si="36"/>
        <v>0.50205871059609142</v>
      </c>
      <c r="X32" s="5">
        <f t="shared" si="37"/>
        <v>1.9917989248960659</v>
      </c>
      <c r="Y32" s="5">
        <f t="shared" si="38"/>
        <v>98.129350625779111</v>
      </c>
      <c r="Z32" s="5">
        <f t="shared" si="39"/>
        <v>1.0190630974554667E-2</v>
      </c>
      <c r="AA32" s="5">
        <f t="shared" si="40"/>
        <v>0.10094865513990103</v>
      </c>
      <c r="AB32" s="5">
        <f t="shared" si="57"/>
        <v>0.10094269442564119</v>
      </c>
      <c r="AC32" s="30">
        <f t="shared" si="58"/>
        <v>84.482978672596147</v>
      </c>
      <c r="AD32" s="5">
        <f t="shared" si="59"/>
        <v>3.4453523960701391</v>
      </c>
      <c r="AE32" s="5">
        <v>498.4381003345049</v>
      </c>
      <c r="AF32" s="5">
        <v>10.027075836790788</v>
      </c>
      <c r="AG32" s="5">
        <f t="shared" si="60"/>
        <v>2.9103193763946869</v>
      </c>
      <c r="AH32" s="1">
        <f t="shared" si="41"/>
        <v>777007.68892429257</v>
      </c>
      <c r="AI32" s="21">
        <f t="shared" si="61"/>
        <v>0.34740567859756855</v>
      </c>
      <c r="AJ32" s="22">
        <f t="shared" si="62"/>
        <v>118.68347675783168</v>
      </c>
      <c r="AK32" s="1">
        <f t="shared" si="42"/>
        <v>0.58941129832873795</v>
      </c>
      <c r="AL32" s="1">
        <f t="shared" si="43"/>
        <v>1.6966081288829664</v>
      </c>
      <c r="AM32" s="1">
        <f t="shared" si="44"/>
        <v>49.728817111015296</v>
      </c>
      <c r="AN32" s="1">
        <f t="shared" si="45"/>
        <v>2.0109064685121834E-2</v>
      </c>
      <c r="AO32" s="1">
        <f t="shared" si="46"/>
        <v>0.14180643386363623</v>
      </c>
      <c r="AP32" s="1">
        <f t="shared" si="63"/>
        <v>0.14180095324038861</v>
      </c>
      <c r="AQ32" s="28">
        <f t="shared" si="47"/>
        <v>118.67888980501084</v>
      </c>
      <c r="AW32" s="12"/>
      <c r="AX32" s="12"/>
      <c r="AY32" s="12"/>
      <c r="AZ32" s="12"/>
    </row>
    <row r="33" spans="1:71" ht="15.75" x14ac:dyDescent="0.25">
      <c r="A33" s="21">
        <f t="shared" si="29"/>
        <v>0</v>
      </c>
      <c r="B33" s="59"/>
      <c r="C33" s="60"/>
      <c r="D33" s="5" t="e">
        <f t="shared" si="48"/>
        <v>#DIV/0!</v>
      </c>
      <c r="E33" s="30">
        <f t="shared" si="30"/>
        <v>0</v>
      </c>
      <c r="F33" s="15" t="e">
        <f t="shared" si="49"/>
        <v>#DIV/0!</v>
      </c>
      <c r="G33" s="30" t="e">
        <f t="shared" si="50"/>
        <v>#DIV/0!</v>
      </c>
      <c r="H33" s="30"/>
      <c r="I33" s="15" t="e">
        <f t="shared" si="31"/>
        <v>#DIV/0!</v>
      </c>
      <c r="J33" s="15" t="e">
        <f t="shared" si="32"/>
        <v>#DIV/0!</v>
      </c>
      <c r="K33" s="15" t="e">
        <f t="shared" si="33"/>
        <v>#DIV/0!</v>
      </c>
      <c r="L33" s="15" t="e">
        <f t="shared" si="34"/>
        <v>#DIV/0!</v>
      </c>
      <c r="M33" s="15" t="e">
        <f t="shared" si="35"/>
        <v>#DIV/0!</v>
      </c>
      <c r="N33" s="15" t="e">
        <f t="shared" si="51"/>
        <v>#DIV/0!</v>
      </c>
      <c r="O33" s="15" t="e">
        <f t="shared" si="52"/>
        <v>#DIV/0!</v>
      </c>
      <c r="P33" s="15">
        <f t="shared" si="53"/>
        <v>4.8403646750850937</v>
      </c>
      <c r="Q33" s="59">
        <v>700.25410936993217</v>
      </c>
      <c r="R33" s="59">
        <v>12.197736417344554</v>
      </c>
      <c r="S33" s="5">
        <v>0.41093545073128362</v>
      </c>
      <c r="T33" s="5">
        <f t="shared" si="54"/>
        <v>1091615.6425765187</v>
      </c>
      <c r="U33" s="5">
        <f t="shared" si="55"/>
        <v>0.21411790718226953</v>
      </c>
      <c r="V33" s="30">
        <f t="shared" si="56"/>
        <v>69.526073648212531</v>
      </c>
      <c r="W33" s="5">
        <f t="shared" si="36"/>
        <v>0.46272876200023433</v>
      </c>
      <c r="X33" s="5">
        <f t="shared" si="37"/>
        <v>2.1610932410540187</v>
      </c>
      <c r="Y33" s="5">
        <f t="shared" si="38"/>
        <v>144.90829316781358</v>
      </c>
      <c r="Z33" s="5">
        <f t="shared" si="39"/>
        <v>6.9009162839419585E-3</v>
      </c>
      <c r="AA33" s="5">
        <f t="shared" si="40"/>
        <v>8.3071753827290526E-2</v>
      </c>
      <c r="AB33" s="5">
        <f t="shared" si="57"/>
        <v>8.3066784730271875E-2</v>
      </c>
      <c r="AC33" s="30">
        <f t="shared" si="58"/>
        <v>69.521914812153739</v>
      </c>
      <c r="AD33" s="5">
        <f t="shared" si="59"/>
        <v>4.8652127637012219</v>
      </c>
      <c r="AE33" s="5">
        <v>703.84887491580002</v>
      </c>
      <c r="AF33" s="5">
        <v>17.223571166618814</v>
      </c>
      <c r="AG33" s="5">
        <f t="shared" si="60"/>
        <v>3.5401475748649363</v>
      </c>
      <c r="AH33" s="1">
        <f t="shared" si="41"/>
        <v>1097219.4687429874</v>
      </c>
      <c r="AI33" s="21">
        <f t="shared" si="61"/>
        <v>0.29926052955493027</v>
      </c>
      <c r="AJ33" s="22">
        <f t="shared" si="62"/>
        <v>102.02256610712789</v>
      </c>
      <c r="AK33" s="1">
        <f t="shared" si="42"/>
        <v>0.54704709994197964</v>
      </c>
      <c r="AL33" s="1">
        <f t="shared" si="43"/>
        <v>1.8279961635955313</v>
      </c>
      <c r="AM33" s="1">
        <f t="shared" si="44"/>
        <v>67.297071147185633</v>
      </c>
      <c r="AN33" s="1">
        <f t="shared" si="45"/>
        <v>1.4859487685770112E-2</v>
      </c>
      <c r="AO33" s="1">
        <f t="shared" si="46"/>
        <v>0.12189949829991144</v>
      </c>
      <c r="AP33" s="1">
        <f t="shared" si="63"/>
        <v>0.12189531657464923</v>
      </c>
      <c r="AQ33" s="28">
        <f t="shared" si="47"/>
        <v>102.01906625398694</v>
      </c>
      <c r="AV33" s="12"/>
      <c r="AW33" s="12"/>
      <c r="AX33" s="12"/>
      <c r="AY33" s="12"/>
      <c r="AZ33" s="12"/>
    </row>
    <row r="34" spans="1:71" ht="15.75" x14ac:dyDescent="0.25">
      <c r="A34" s="21">
        <f t="shared" si="29"/>
        <v>0</v>
      </c>
      <c r="B34" s="59"/>
      <c r="C34" s="59"/>
      <c r="D34" s="5" t="e">
        <f t="shared" si="48"/>
        <v>#DIV/0!</v>
      </c>
      <c r="E34" s="30">
        <f t="shared" si="30"/>
        <v>0</v>
      </c>
      <c r="F34" s="15" t="e">
        <f t="shared" si="49"/>
        <v>#DIV/0!</v>
      </c>
      <c r="G34" s="30" t="e">
        <f t="shared" si="50"/>
        <v>#DIV/0!</v>
      </c>
      <c r="H34" s="30"/>
      <c r="I34" s="15" t="e">
        <f t="shared" si="31"/>
        <v>#DIV/0!</v>
      </c>
      <c r="J34" s="15" t="e">
        <f t="shared" si="32"/>
        <v>#DIV/0!</v>
      </c>
      <c r="K34" s="15" t="e">
        <f t="shared" si="33"/>
        <v>#DIV/0!</v>
      </c>
      <c r="L34" s="15" t="e">
        <f t="shared" si="34"/>
        <v>#DIV/0!</v>
      </c>
      <c r="M34" s="15" t="e">
        <f t="shared" si="35"/>
        <v>#DIV/0!</v>
      </c>
      <c r="N34" s="15" t="e">
        <f t="shared" si="51"/>
        <v>#DIV/0!</v>
      </c>
      <c r="O34" s="15" t="e">
        <f t="shared" si="52"/>
        <v>#DIV/0!</v>
      </c>
      <c r="P34" s="15">
        <f t="shared" si="53"/>
        <v>6.2520474007350346</v>
      </c>
      <c r="Q34" s="59">
        <v>904.48182693246042</v>
      </c>
      <c r="R34" s="59">
        <v>18.35129053244561</v>
      </c>
      <c r="S34" s="5">
        <v>0.47796417418440623</v>
      </c>
      <c r="T34" s="5">
        <f t="shared" si="54"/>
        <v>1409983.1725286788</v>
      </c>
      <c r="U34" s="5">
        <f t="shared" si="55"/>
        <v>0.19308653895273237</v>
      </c>
      <c r="V34" s="30">
        <f t="shared" si="56"/>
        <v>60.928539327972636</v>
      </c>
      <c r="W34" s="5">
        <f t="shared" si="36"/>
        <v>0.43941613415159481</v>
      </c>
      <c r="X34" s="5">
        <f t="shared" si="37"/>
        <v>2.2757471159559395</v>
      </c>
      <c r="Y34" s="5">
        <f t="shared" si="38"/>
        <v>188.68923162281015</v>
      </c>
      <c r="Z34" s="5">
        <f t="shared" si="39"/>
        <v>5.2997194985615311E-3</v>
      </c>
      <c r="AA34" s="5">
        <f t="shared" si="40"/>
        <v>7.2799172375525883E-2</v>
      </c>
      <c r="AB34" s="5">
        <f t="shared" si="57"/>
        <v>7.2795121174509911E-2</v>
      </c>
      <c r="AC34" s="30">
        <f t="shared" si="58"/>
        <v>60.925148715794329</v>
      </c>
      <c r="AD34" s="5">
        <f t="shared" si="59"/>
        <v>6.2062382297994283</v>
      </c>
      <c r="AE34" s="5">
        <v>897.85462787871882</v>
      </c>
      <c r="AF34" s="5">
        <v>26.639594482964753</v>
      </c>
      <c r="AG34" s="5">
        <f t="shared" si="60"/>
        <v>4.2923899303532993</v>
      </c>
      <c r="AH34" s="1">
        <f t="shared" si="41"/>
        <v>1399652.1311870692</v>
      </c>
      <c r="AI34" s="21">
        <f t="shared" si="61"/>
        <v>0.28444652747908533</v>
      </c>
      <c r="AJ34" s="22">
        <f t="shared" si="62"/>
        <v>96.649087349732724</v>
      </c>
      <c r="AK34" s="1">
        <f t="shared" si="42"/>
        <v>0.53333528617473391</v>
      </c>
      <c r="AL34" s="1">
        <f t="shared" si="43"/>
        <v>1.8749931345670894</v>
      </c>
      <c r="AM34" s="1">
        <f t="shared" si="44"/>
        <v>74.988235491591226</v>
      </c>
      <c r="AN34" s="1">
        <f t="shared" si="45"/>
        <v>1.3335425129614293E-2</v>
      </c>
      <c r="AO34" s="1">
        <f t="shared" si="46"/>
        <v>0.11547911122629188</v>
      </c>
      <c r="AP34" s="1">
        <f t="shared" si="63"/>
        <v>0.11547574879596874</v>
      </c>
      <c r="AQ34" s="28">
        <f t="shared" si="47"/>
        <v>96.646273197298072</v>
      </c>
      <c r="AV34" s="12"/>
      <c r="AW34" s="13"/>
      <c r="AX34" s="13"/>
      <c r="AY34" s="13"/>
      <c r="AZ34" s="13"/>
    </row>
    <row r="35" spans="1:71" ht="15.75" x14ac:dyDescent="0.25">
      <c r="A35" s="21">
        <f t="shared" si="29"/>
        <v>0</v>
      </c>
      <c r="B35" s="59"/>
      <c r="C35" s="59"/>
      <c r="D35" s="5" t="e">
        <f t="shared" si="48"/>
        <v>#DIV/0!</v>
      </c>
      <c r="E35" s="30">
        <f t="shared" si="30"/>
        <v>0</v>
      </c>
      <c r="F35" s="15" t="e">
        <f t="shared" si="49"/>
        <v>#DIV/0!</v>
      </c>
      <c r="G35" s="30" t="e">
        <f t="shared" si="50"/>
        <v>#DIV/0!</v>
      </c>
      <c r="H35" s="30"/>
      <c r="I35" s="15" t="e">
        <f t="shared" si="31"/>
        <v>#DIV/0!</v>
      </c>
      <c r="J35" s="15" t="e">
        <f t="shared" si="32"/>
        <v>#DIV/0!</v>
      </c>
      <c r="K35" s="15" t="e">
        <f t="shared" si="33"/>
        <v>#DIV/0!</v>
      </c>
      <c r="L35" s="15" t="e">
        <f t="shared" si="34"/>
        <v>#DIV/0!</v>
      </c>
      <c r="M35" s="15" t="e">
        <f t="shared" si="35"/>
        <v>#DIV/0!</v>
      </c>
      <c r="N35" s="15" t="e">
        <f t="shared" si="51"/>
        <v>#DIV/0!</v>
      </c>
      <c r="O35" s="15" t="e">
        <f t="shared" si="52"/>
        <v>#DIV/0!</v>
      </c>
      <c r="P35" s="15">
        <f t="shared" si="53"/>
        <v>8.3714216876196375</v>
      </c>
      <c r="Q35" s="59">
        <v>1211.0910709266277</v>
      </c>
      <c r="R35" s="59">
        <v>29.921858582697563</v>
      </c>
      <c r="S35" s="5">
        <v>0.46866474544018599</v>
      </c>
      <c r="T35" s="5">
        <f t="shared" si="54"/>
        <v>1887951.7305479182</v>
      </c>
      <c r="U35" s="5">
        <f t="shared" si="55"/>
        <v>0.17559819174384214</v>
      </c>
      <c r="V35" s="30">
        <f t="shared" si="56"/>
        <v>53.641792442498556</v>
      </c>
      <c r="W35" s="5">
        <f t="shared" si="36"/>
        <v>0.4190443792056423</v>
      </c>
      <c r="X35" s="5">
        <f t="shared" si="37"/>
        <v>2.3863820865361349</v>
      </c>
      <c r="Y35" s="5">
        <f t="shared" si="38"/>
        <v>243.43447715334577</v>
      </c>
      <c r="Z35" s="5">
        <f t="shared" si="39"/>
        <v>4.1078815609593118E-3</v>
      </c>
      <c r="AA35" s="5">
        <f t="shared" si="40"/>
        <v>6.4092757476639367E-2</v>
      </c>
      <c r="AB35" s="5">
        <f t="shared" si="57"/>
        <v>6.4089584821883275E-2</v>
      </c>
      <c r="AC35" s="30">
        <f t="shared" si="58"/>
        <v>53.639137120826987</v>
      </c>
      <c r="AD35" s="5">
        <f t="shared" si="59"/>
        <v>8.294020223330584</v>
      </c>
      <c r="AE35" s="5">
        <v>1199.8934242454493</v>
      </c>
      <c r="AF35" s="5">
        <v>44.934169632015397</v>
      </c>
      <c r="AG35" s="5">
        <f t="shared" si="60"/>
        <v>5.4176585566572717</v>
      </c>
      <c r="AH35" s="1">
        <f t="shared" si="41"/>
        <v>1870495.8868568076</v>
      </c>
      <c r="AI35" s="21">
        <f t="shared" si="61"/>
        <v>0.26864357091404867</v>
      </c>
      <c r="AJ35" s="22">
        <f t="shared" si="62"/>
        <v>90.785742132146822</v>
      </c>
      <c r="AK35" s="1">
        <f t="shared" si="42"/>
        <v>0.5183083743429665</v>
      </c>
      <c r="AL35" s="1">
        <f t="shared" si="43"/>
        <v>1.92935335314165</v>
      </c>
      <c r="AM35" s="1">
        <f t="shared" si="44"/>
        <v>84.987167122416068</v>
      </c>
      <c r="AN35" s="1">
        <f t="shared" si="45"/>
        <v>1.1766482327380009E-2</v>
      </c>
      <c r="AO35" s="1">
        <f t="shared" si="46"/>
        <v>0.10847341760717236</v>
      </c>
      <c r="AP35" s="1">
        <f t="shared" si="63"/>
        <v>0.10847082862691829</v>
      </c>
      <c r="AQ35" s="28">
        <f t="shared" si="47"/>
        <v>90.783575311012996</v>
      </c>
      <c r="AV35" s="12"/>
      <c r="AW35" s="13"/>
      <c r="AX35" s="13"/>
      <c r="AY35" s="13"/>
      <c r="AZ35" s="13"/>
    </row>
    <row r="36" spans="1:71" ht="15.75" x14ac:dyDescent="0.25">
      <c r="A36" s="21">
        <f t="shared" si="29"/>
        <v>0</v>
      </c>
      <c r="B36" s="59"/>
      <c r="C36" s="59"/>
      <c r="D36" s="5" t="e">
        <f t="shared" si="48"/>
        <v>#DIV/0!</v>
      </c>
      <c r="E36" s="30">
        <f t="shared" si="30"/>
        <v>0</v>
      </c>
      <c r="F36" s="15" t="e">
        <f t="shared" si="49"/>
        <v>#DIV/0!</v>
      </c>
      <c r="G36" s="30" t="e">
        <f t="shared" si="50"/>
        <v>#DIV/0!</v>
      </c>
      <c r="H36" s="30"/>
      <c r="I36" s="15" t="e">
        <f t="shared" si="31"/>
        <v>#DIV/0!</v>
      </c>
      <c r="J36" s="15" t="e">
        <f t="shared" si="32"/>
        <v>#DIV/0!</v>
      </c>
      <c r="K36" s="15" t="e">
        <f t="shared" si="33"/>
        <v>#DIV/0!</v>
      </c>
      <c r="L36" s="15" t="e">
        <f t="shared" si="34"/>
        <v>#DIV/0!</v>
      </c>
      <c r="M36" s="15" t="e">
        <f t="shared" si="35"/>
        <v>#DIV/0!</v>
      </c>
      <c r="N36" s="15" t="e">
        <f t="shared" si="51"/>
        <v>#DIV/0!</v>
      </c>
      <c r="O36" s="15" t="e">
        <f t="shared" si="52"/>
        <v>#DIV/0!</v>
      </c>
      <c r="P36" s="15">
        <f t="shared" si="53"/>
        <v>9.724589210371386</v>
      </c>
      <c r="Q36" s="59">
        <v>1406.8534115928678</v>
      </c>
      <c r="R36" s="59">
        <v>39.145161566643587</v>
      </c>
      <c r="S36" s="5">
        <v>0.6959860530453813</v>
      </c>
      <c r="T36" s="5">
        <f t="shared" si="54"/>
        <v>2193122.7112522507</v>
      </c>
      <c r="U36" s="5">
        <f t="shared" si="55"/>
        <v>0.17024151343310956</v>
      </c>
      <c r="V36" s="30">
        <f t="shared" si="56"/>
        <v>51.389771753722208</v>
      </c>
      <c r="W36" s="5">
        <f t="shared" si="36"/>
        <v>0.41260333667229299</v>
      </c>
      <c r="X36" s="5">
        <f t="shared" si="37"/>
        <v>2.4236352717482803</v>
      </c>
      <c r="Y36" s="5">
        <f t="shared" si="38"/>
        <v>265.2377112755309</v>
      </c>
      <c r="Z36" s="5">
        <f t="shared" si="39"/>
        <v>3.7702029443361942E-3</v>
      </c>
      <c r="AA36" s="5">
        <f t="shared" si="40"/>
        <v>6.1401978342201596E-2</v>
      </c>
      <c r="AB36" s="5">
        <f t="shared" si="57"/>
        <v>6.1399204523618224E-2</v>
      </c>
      <c r="AC36" s="30">
        <f t="shared" si="58"/>
        <v>51.387450233997036</v>
      </c>
      <c r="AD36" s="5"/>
      <c r="AE36" s="5"/>
      <c r="AF36" s="5"/>
      <c r="AG36" s="5"/>
      <c r="AI36" s="21"/>
      <c r="AJ36" s="22"/>
      <c r="AQ36" s="28"/>
      <c r="AV36" s="12"/>
      <c r="AW36" s="13"/>
      <c r="AX36" s="13"/>
      <c r="AY36" s="13"/>
      <c r="AZ36" s="13"/>
    </row>
    <row r="37" spans="1:71" x14ac:dyDescent="0.2">
      <c r="A37" s="21">
        <f t="shared" si="29"/>
        <v>0</v>
      </c>
      <c r="B37" s="59"/>
      <c r="C37" s="59"/>
      <c r="D37" s="5" t="e">
        <f t="shared" si="48"/>
        <v>#DIV/0!</v>
      </c>
      <c r="E37" s="30">
        <f t="shared" si="30"/>
        <v>0</v>
      </c>
      <c r="F37" s="15" t="e">
        <f t="shared" si="49"/>
        <v>#DIV/0!</v>
      </c>
      <c r="G37" s="30" t="e">
        <f t="shared" si="50"/>
        <v>#DIV/0!</v>
      </c>
      <c r="H37" s="30"/>
      <c r="I37" s="15" t="e">
        <f t="shared" si="31"/>
        <v>#DIV/0!</v>
      </c>
      <c r="J37" s="15" t="e">
        <f t="shared" si="32"/>
        <v>#DIV/0!</v>
      </c>
      <c r="K37" s="15" t="e">
        <f t="shared" si="33"/>
        <v>#DIV/0!</v>
      </c>
      <c r="L37" s="15" t="e">
        <f t="shared" si="34"/>
        <v>#DIV/0!</v>
      </c>
      <c r="M37" s="15" t="e">
        <f t="shared" si="35"/>
        <v>#DIV/0!</v>
      </c>
      <c r="N37" s="15" t="e">
        <f t="shared" si="51"/>
        <v>#DIV/0!</v>
      </c>
      <c r="O37" s="15" t="e">
        <f t="shared" si="52"/>
        <v>#DIV/0!</v>
      </c>
      <c r="P37" s="15"/>
      <c r="Q37" s="59"/>
      <c r="R37" s="59"/>
      <c r="S37" s="5"/>
      <c r="T37" s="5"/>
      <c r="U37" s="5"/>
      <c r="V37" s="30"/>
      <c r="W37" s="5"/>
      <c r="X37" s="5"/>
      <c r="Y37" s="5"/>
      <c r="Z37" s="5"/>
      <c r="AA37" s="5"/>
      <c r="AB37" s="5"/>
      <c r="AC37" s="30"/>
      <c r="AD37" s="5"/>
      <c r="AE37" s="5"/>
      <c r="AF37" s="5"/>
      <c r="AG37" s="5"/>
      <c r="AI37" s="21"/>
      <c r="AJ37" s="22"/>
      <c r="AQ37" s="28"/>
      <c r="AT37" s="58"/>
      <c r="AU37" s="58"/>
      <c r="AV37" s="58"/>
      <c r="AW37" s="58"/>
      <c r="AX37" s="58"/>
      <c r="AY37" s="58"/>
      <c r="AZ37" s="58"/>
      <c r="BA37" s="58"/>
      <c r="BB37" s="58"/>
      <c r="BC37" s="58"/>
      <c r="BD37" s="58"/>
      <c r="BE37" s="58"/>
      <c r="BF37" s="58"/>
      <c r="BG37" s="58"/>
      <c r="BH37" s="58"/>
      <c r="BI37" s="58"/>
      <c r="BJ37" s="58"/>
      <c r="BK37" s="58"/>
      <c r="BL37" s="58"/>
      <c r="BM37" s="58"/>
      <c r="BN37" s="58"/>
      <c r="BO37" s="58"/>
      <c r="BP37" s="58"/>
      <c r="BQ37" s="58"/>
      <c r="BR37" s="58"/>
      <c r="BS37" s="58"/>
    </row>
    <row r="38" spans="1:71" s="20" customFormat="1" x14ac:dyDescent="0.2">
      <c r="A38" s="37"/>
      <c r="B38" s="35"/>
      <c r="C38" s="35"/>
      <c r="D38" s="35"/>
      <c r="E38" s="36"/>
      <c r="F38" s="38"/>
      <c r="G38" s="36" t="e">
        <f>AVERAGE(G28:G37)</f>
        <v>#DIV/0!</v>
      </c>
      <c r="H38" s="36"/>
      <c r="I38" s="38"/>
      <c r="J38" s="38"/>
      <c r="K38" s="38"/>
      <c r="L38" s="38"/>
      <c r="M38" s="38"/>
      <c r="N38" s="38"/>
      <c r="O38" s="38" t="e">
        <f>AVERAGE(O28:O37)</f>
        <v>#DIV/0!</v>
      </c>
      <c r="P38" s="38"/>
      <c r="Q38" s="35"/>
      <c r="R38" s="35"/>
      <c r="S38" s="35"/>
      <c r="T38" s="35"/>
      <c r="U38" s="35"/>
      <c r="V38" s="36">
        <f>AVERAGE(V34:V35)</f>
        <v>57.2851658852356</v>
      </c>
      <c r="W38" s="35"/>
      <c r="X38" s="35"/>
      <c r="Y38" s="35"/>
      <c r="Z38" s="35"/>
      <c r="AA38" s="35"/>
      <c r="AB38" s="35"/>
      <c r="AC38" s="36">
        <f>AVERAGE(AC34:AC35)</f>
        <v>57.282142918310655</v>
      </c>
      <c r="AD38" s="35"/>
      <c r="AE38" s="35"/>
      <c r="AF38" s="35"/>
      <c r="AG38" s="35"/>
      <c r="AJ38" s="39">
        <f>AVERAGE(AJ34:AJ35)</f>
        <v>93.717414740939773</v>
      </c>
      <c r="AQ38" s="40">
        <f>AVERAGE(AQ34:AQ35)</f>
        <v>93.714924254155534</v>
      </c>
      <c r="AT38" s="64"/>
      <c r="AU38" s="64"/>
      <c r="AV38" s="64"/>
      <c r="AW38" s="64"/>
      <c r="AX38" s="64"/>
      <c r="AY38" s="64"/>
      <c r="AZ38" s="64"/>
      <c r="BA38" s="64"/>
      <c r="BB38" s="64"/>
      <c r="BC38" s="64"/>
      <c r="BD38" s="64"/>
      <c r="BE38" s="64"/>
      <c r="BF38" s="64"/>
      <c r="BG38" s="64"/>
      <c r="BH38" s="64"/>
      <c r="BI38" s="64"/>
      <c r="BJ38" s="64"/>
      <c r="BK38" s="64"/>
      <c r="BL38" s="64"/>
      <c r="BM38" s="64"/>
      <c r="BN38" s="64"/>
      <c r="BO38" s="64"/>
      <c r="BP38" s="64"/>
      <c r="BQ38" s="64"/>
      <c r="BR38" s="64"/>
      <c r="BS38" s="64"/>
    </row>
    <row r="39" spans="1:71" s="20" customFormat="1" ht="15.75" x14ac:dyDescent="0.25">
      <c r="A39" s="37"/>
      <c r="B39" s="35"/>
      <c r="C39" s="35"/>
      <c r="D39" s="35"/>
      <c r="E39" s="36"/>
      <c r="F39" s="38"/>
      <c r="G39" s="36" t="e">
        <f>STDEV(G28:G37)</f>
        <v>#DIV/0!</v>
      </c>
      <c r="H39" s="36"/>
      <c r="I39" s="38"/>
      <c r="J39" s="38"/>
      <c r="K39" s="38"/>
      <c r="L39" s="38"/>
      <c r="M39" s="38"/>
      <c r="N39" s="38"/>
      <c r="O39" s="38" t="e">
        <f>STDEV(O28:O37)</f>
        <v>#DIV/0!</v>
      </c>
      <c r="P39" s="38"/>
      <c r="Q39" s="35"/>
      <c r="R39" s="35"/>
      <c r="S39" s="35"/>
      <c r="T39" s="35"/>
      <c r="U39" s="35"/>
      <c r="V39" s="36">
        <f>STDEV(V34:V35)</f>
        <v>5.1525081355086773</v>
      </c>
      <c r="W39" s="35"/>
      <c r="X39" s="35"/>
      <c r="Y39" s="35"/>
      <c r="Z39" s="35"/>
      <c r="AA39" s="35"/>
      <c r="AB39" s="35"/>
      <c r="AC39" s="36">
        <f>STDEV(AC34:AC35)</f>
        <v>5.1519882066052203</v>
      </c>
      <c r="AD39" s="35"/>
      <c r="AE39" s="35"/>
      <c r="AF39" s="35"/>
      <c r="AG39" s="35"/>
      <c r="AJ39" s="39">
        <f>STDEV(AJ34:AJ35)</f>
        <v>4.1460111637927044</v>
      </c>
      <c r="AQ39" s="40">
        <f>STDEV(AQ34:AQ35)</f>
        <v>4.1455534314402165</v>
      </c>
      <c r="AT39" s="64"/>
      <c r="AU39" s="65"/>
      <c r="AV39" s="87"/>
      <c r="AW39" s="87"/>
      <c r="AX39" s="64"/>
      <c r="AY39" s="88"/>
      <c r="AZ39" s="88"/>
      <c r="BA39" s="64"/>
      <c r="BB39" s="64"/>
      <c r="BC39" s="64"/>
      <c r="BD39" s="64"/>
      <c r="BE39" s="64"/>
      <c r="BF39" s="64"/>
      <c r="BG39" s="64"/>
      <c r="BH39" s="64"/>
      <c r="BI39" s="64"/>
      <c r="BJ39" s="64"/>
      <c r="BK39" s="64"/>
      <c r="BL39" s="64"/>
      <c r="BM39" s="64"/>
      <c r="BN39" s="64"/>
      <c r="BO39" s="64"/>
      <c r="BP39" s="64"/>
      <c r="BQ39" s="64"/>
      <c r="BR39" s="64"/>
      <c r="BS39" s="64"/>
    </row>
    <row r="40" spans="1:71" ht="15.75" x14ac:dyDescent="0.25">
      <c r="A40" s="21"/>
      <c r="B40" s="85">
        <v>0.75</v>
      </c>
      <c r="C40" s="86"/>
      <c r="D40" s="86"/>
      <c r="E40" s="86"/>
      <c r="F40" s="86"/>
      <c r="G40" s="86"/>
      <c r="H40" s="86"/>
      <c r="I40" s="86"/>
      <c r="J40" s="86"/>
      <c r="K40" s="86"/>
      <c r="L40" s="86"/>
      <c r="M40" s="86"/>
      <c r="N40" s="86"/>
      <c r="O40" s="86"/>
      <c r="P40" s="86"/>
      <c r="Q40" s="86"/>
      <c r="R40" s="86"/>
      <c r="S40" s="86"/>
      <c r="T40" s="86"/>
      <c r="U40" s="86"/>
      <c r="V40" s="86"/>
      <c r="W40" s="86"/>
      <c r="X40" s="86"/>
      <c r="Y40" s="86"/>
      <c r="Z40" s="86"/>
      <c r="AA40" s="86"/>
      <c r="AB40" s="86"/>
      <c r="AC40" s="86"/>
      <c r="AD40" s="86"/>
      <c r="AE40" s="86"/>
      <c r="AF40" s="86"/>
      <c r="AG40" s="86"/>
      <c r="AQ40" s="28"/>
      <c r="AT40" s="58"/>
      <c r="AU40" s="66"/>
      <c r="AV40" s="67"/>
      <c r="AW40" s="67"/>
      <c r="AX40" s="58"/>
      <c r="AY40" s="64"/>
      <c r="AZ40" s="64"/>
      <c r="BA40" s="58"/>
      <c r="BB40" s="58"/>
      <c r="BC40" s="58"/>
      <c r="BD40" s="58"/>
      <c r="BE40" s="58"/>
      <c r="BF40" s="58"/>
      <c r="BG40" s="58"/>
      <c r="BH40" s="58"/>
      <c r="BI40" s="58"/>
      <c r="BJ40" s="58"/>
      <c r="BK40" s="58"/>
      <c r="BL40" s="58"/>
      <c r="BM40" s="58"/>
      <c r="BN40" s="58"/>
      <c r="BO40" s="58"/>
      <c r="BP40" s="58"/>
      <c r="BQ40" s="58"/>
      <c r="BR40" s="58"/>
      <c r="BS40" s="58"/>
    </row>
    <row r="41" spans="1:71" ht="15.75" x14ac:dyDescent="0.25">
      <c r="A41" s="21"/>
      <c r="B41" s="84" t="s">
        <v>52</v>
      </c>
      <c r="C41" s="84"/>
      <c r="D41" s="84"/>
      <c r="E41" s="62"/>
      <c r="F41" s="62"/>
      <c r="G41" s="62" t="s">
        <v>72</v>
      </c>
      <c r="H41" s="62"/>
      <c r="I41" s="62"/>
      <c r="J41" s="62"/>
      <c r="K41" s="62"/>
      <c r="L41" s="62"/>
      <c r="M41" s="62"/>
      <c r="N41" s="62"/>
      <c r="O41" s="62"/>
      <c r="P41" s="62"/>
      <c r="Q41" s="84" t="s">
        <v>53</v>
      </c>
      <c r="R41" s="84"/>
      <c r="S41" s="84"/>
      <c r="T41" s="62"/>
      <c r="U41" s="62"/>
      <c r="V41" s="62" t="s">
        <v>72</v>
      </c>
      <c r="W41" s="62"/>
      <c r="X41" s="62"/>
      <c r="Y41" s="62"/>
      <c r="Z41" s="62"/>
      <c r="AA41" s="62"/>
      <c r="AB41" s="62"/>
      <c r="AC41" s="62"/>
      <c r="AD41" s="62"/>
      <c r="AE41" s="84" t="s">
        <v>54</v>
      </c>
      <c r="AF41" s="84"/>
      <c r="AG41" s="84"/>
      <c r="AJ41" s="1" t="s">
        <v>72</v>
      </c>
      <c r="AQ41" s="28"/>
      <c r="AT41" s="58"/>
      <c r="AU41" s="68"/>
      <c r="AV41" s="69"/>
      <c r="AW41" s="69"/>
      <c r="AX41" s="58"/>
      <c r="AY41" s="70"/>
      <c r="AZ41" s="70"/>
      <c r="BA41" s="58"/>
      <c r="BB41" s="58"/>
      <c r="BC41" s="58"/>
      <c r="BD41" s="71"/>
      <c r="BE41" s="71"/>
      <c r="BF41" s="58"/>
      <c r="BG41" s="58"/>
      <c r="BH41" s="58"/>
      <c r="BI41" s="58"/>
      <c r="BJ41" s="58"/>
      <c r="BK41" s="58"/>
      <c r="BL41" s="58"/>
      <c r="BM41" s="58"/>
      <c r="BN41" s="58"/>
      <c r="BO41" s="58"/>
      <c r="BP41" s="58"/>
      <c r="BQ41" s="58"/>
      <c r="BR41" s="58"/>
      <c r="BS41" s="58"/>
    </row>
    <row r="42" spans="1:71" ht="15" x14ac:dyDescent="0.2">
      <c r="A42" s="20" t="s">
        <v>55</v>
      </c>
      <c r="B42" s="3" t="s">
        <v>8</v>
      </c>
      <c r="C42" s="4" t="s">
        <v>9</v>
      </c>
      <c r="D42" s="3" t="s">
        <v>88</v>
      </c>
      <c r="E42" s="3" t="s">
        <v>56</v>
      </c>
      <c r="F42" s="3" t="s">
        <v>57</v>
      </c>
      <c r="G42" s="3" t="s">
        <v>74</v>
      </c>
      <c r="H42" s="3"/>
      <c r="I42" s="3" t="s">
        <v>61</v>
      </c>
      <c r="J42" s="3" t="s">
        <v>62</v>
      </c>
      <c r="K42" s="3" t="s">
        <v>63</v>
      </c>
      <c r="L42" s="3" t="s">
        <v>65</v>
      </c>
      <c r="M42" s="3" t="s">
        <v>64</v>
      </c>
      <c r="N42" s="3" t="s">
        <v>66</v>
      </c>
      <c r="O42" s="3" t="s">
        <v>67</v>
      </c>
      <c r="P42" s="3" t="s">
        <v>55</v>
      </c>
      <c r="Q42" s="3" t="s">
        <v>8</v>
      </c>
      <c r="R42" s="4" t="s">
        <v>9</v>
      </c>
      <c r="S42" s="3" t="s">
        <v>88</v>
      </c>
      <c r="T42" s="3" t="s">
        <v>56</v>
      </c>
      <c r="U42" s="3" t="s">
        <v>57</v>
      </c>
      <c r="V42" s="3" t="s">
        <v>74</v>
      </c>
      <c r="W42" s="3" t="s">
        <v>61</v>
      </c>
      <c r="X42" s="3" t="s">
        <v>62</v>
      </c>
      <c r="Y42" s="3" t="s">
        <v>63</v>
      </c>
      <c r="Z42" s="3" t="s">
        <v>65</v>
      </c>
      <c r="AA42" s="3" t="s">
        <v>64</v>
      </c>
      <c r="AB42" s="3" t="s">
        <v>66</v>
      </c>
      <c r="AC42" s="3" t="s">
        <v>67</v>
      </c>
      <c r="AD42" s="3" t="s">
        <v>55</v>
      </c>
      <c r="AE42" s="3" t="s">
        <v>8</v>
      </c>
      <c r="AF42" s="4" t="s">
        <v>9</v>
      </c>
      <c r="AG42" s="3" t="s">
        <v>88</v>
      </c>
      <c r="AH42" s="27" t="s">
        <v>56</v>
      </c>
      <c r="AI42" s="27" t="s">
        <v>57</v>
      </c>
      <c r="AJ42" s="27" t="s">
        <v>74</v>
      </c>
      <c r="AK42" s="16" t="s">
        <v>61</v>
      </c>
      <c r="AL42" s="16" t="s">
        <v>62</v>
      </c>
      <c r="AM42" s="16" t="s">
        <v>63</v>
      </c>
      <c r="AN42" s="16" t="s">
        <v>65</v>
      </c>
      <c r="AO42" s="16" t="s">
        <v>64</v>
      </c>
      <c r="AP42" s="16" t="s">
        <v>66</v>
      </c>
      <c r="AQ42" s="17" t="s">
        <v>67</v>
      </c>
      <c r="AT42" s="72"/>
      <c r="AU42" s="73"/>
      <c r="AV42" s="74"/>
      <c r="AW42" s="74"/>
      <c r="AX42" s="58"/>
      <c r="AY42" s="75"/>
      <c r="AZ42" s="75"/>
      <c r="BA42" s="58"/>
      <c r="BB42" s="58"/>
      <c r="BC42" s="72"/>
      <c r="BD42" s="71"/>
      <c r="BE42" s="71"/>
      <c r="BF42" s="58"/>
      <c r="BG42" s="58"/>
      <c r="BH42" s="58"/>
      <c r="BI42" s="58"/>
      <c r="BJ42" s="58"/>
      <c r="BK42" s="58"/>
      <c r="BL42" s="58"/>
      <c r="BM42" s="58"/>
      <c r="BN42" s="58"/>
      <c r="BO42" s="58"/>
      <c r="BP42" s="58"/>
      <c r="BQ42" s="58"/>
      <c r="BR42" s="58"/>
      <c r="BS42" s="58"/>
    </row>
    <row r="43" spans="1:71" ht="15" x14ac:dyDescent="0.2">
      <c r="A43" s="21">
        <f t="shared" ref="A43:A52" si="64">(B43/3600)/(PI()*(S$5/1000/2)^2)</f>
        <v>0</v>
      </c>
      <c r="B43" s="5"/>
      <c r="C43" s="5"/>
      <c r="D43" s="5" t="e">
        <f>C43/A43</f>
        <v>#DIV/0!</v>
      </c>
      <c r="E43" s="30">
        <f t="shared" ref="E43:E52" si="65">A43*S$5/1000/AX$2</f>
        <v>0</v>
      </c>
      <c r="F43" s="15" t="e">
        <f>(C43/$AU$2*($S$5/1000)*2*$AU$2)/((A43^2)*$AT$2)</f>
        <v>#DIV/0!</v>
      </c>
      <c r="G43" s="30" t="e">
        <f>((3.7^2)/(10^(1/(F43^0.5))))^0.5*$S$5</f>
        <v>#DIV/0!</v>
      </c>
      <c r="H43" s="30"/>
      <c r="I43" s="15" t="e">
        <f t="shared" ref="I43:I52" si="66">F43^0.5</f>
        <v>#DIV/0!</v>
      </c>
      <c r="J43" s="15" t="e">
        <f t="shared" ref="J43:J52" si="67">1/I43</f>
        <v>#DIV/0!</v>
      </c>
      <c r="K43" s="15" t="e">
        <f t="shared" ref="K43:K52" si="68">10^J43</f>
        <v>#DIV/0!</v>
      </c>
      <c r="L43" s="15" t="e">
        <f t="shared" ref="L43:L52" si="69">1/K43</f>
        <v>#DIV/0!</v>
      </c>
      <c r="M43" s="15" t="e">
        <f t="shared" ref="M43:M52" si="70">L43^0.5</f>
        <v>#DIV/0!</v>
      </c>
      <c r="N43" s="15" t="e">
        <f>IF(M43-(2.51/(E43*I43))&gt;0, M43-(2.51/(E43*I43)), M43)</f>
        <v>#DIV/0!</v>
      </c>
      <c r="O43" s="5" t="e">
        <f>N43*3.7*S$5</f>
        <v>#DIV/0!</v>
      </c>
      <c r="P43" s="15">
        <f>(Q43/3600)/(PI()*($S$5/1000/2)^2)</f>
        <v>0.62867374270380849</v>
      </c>
      <c r="Q43" s="59">
        <v>90.950042265891469</v>
      </c>
      <c r="R43" s="59">
        <v>2.3326820000000001</v>
      </c>
      <c r="S43" s="5">
        <f>R43/P43</f>
        <v>3.71048103578745</v>
      </c>
      <c r="T43" s="5">
        <f t="shared" ref="T43:T52" si="71">P43*$S$5/1000/$AX$2</f>
        <v>141780.6586237303</v>
      </c>
      <c r="U43" s="25">
        <f>(R43/$AU$2*($S$5/1000)*2*$AU$2)/((P43^2)*$AT$2)</f>
        <v>2.4273634342018369</v>
      </c>
      <c r="V43" s="30">
        <f>((3.7^2)/(10^(1/(U43^0.5))))^0.5*$S$5</f>
        <v>399.73302062930776</v>
      </c>
      <c r="W43" s="25">
        <f t="shared" ref="W43:W52" si="72">U43^0.5</f>
        <v>1.5579998184216315</v>
      </c>
      <c r="X43" s="25">
        <f t="shared" ref="X43:X52" si="73">1/W43</f>
        <v>0.64184859855315879</v>
      </c>
      <c r="Y43" s="25">
        <f t="shared" ref="Y43:Y52" si="74">10^X43</f>
        <v>4.3837784616566573</v>
      </c>
      <c r="Z43" s="25">
        <f t="shared" ref="Z43:Z52" si="75">1/Y43</f>
        <v>0.22811371713845544</v>
      </c>
      <c r="AA43" s="25">
        <f t="shared" ref="AA43:AA52" si="76">Z43^0.5</f>
        <v>0.47761251777822517</v>
      </c>
      <c r="AB43" s="25">
        <f>IF(AA43-(2.51/(T43*W43))&gt;0, AA43-(2.51/(T43*W43)), AA43)</f>
        <v>0.47760115487444121</v>
      </c>
      <c r="AC43" s="5">
        <f>AB43*3.7*$S$5</f>
        <v>399.72351056061484</v>
      </c>
      <c r="AD43" s="25">
        <f>(AE43/3600)/(PI()*($S$5/1000/2)^2)</f>
        <v>0.63541854866859349</v>
      </c>
      <c r="AE43" s="59">
        <v>91.925811326858039</v>
      </c>
      <c r="AF43" s="59">
        <v>2.6652200000000001</v>
      </c>
      <c r="AG43" s="5">
        <f>AF43/AD43</f>
        <v>4.1944321669307492</v>
      </c>
      <c r="AH43" s="22">
        <f t="shared" ref="AH43:AH49" si="77">AD43*$S$5/1000/$AX$2</f>
        <v>143301.77039764289</v>
      </c>
      <c r="AI43" s="22">
        <f>(AF43/$AU$2*($S$5/1000)*2*$AU$2)/((AD43^2)*$AT$2)</f>
        <v>2.7148334908834677</v>
      </c>
      <c r="AJ43" s="22">
        <f>((3.7^2)/(10^(1/(AI43^0.5))))^0.5*$S$5</f>
        <v>416.13711749055363</v>
      </c>
      <c r="AK43" s="28">
        <f t="shared" si="42"/>
        <v>1.6476751776012977</v>
      </c>
      <c r="AL43" s="28">
        <f t="shared" si="43"/>
        <v>0.60691574018600569</v>
      </c>
      <c r="AM43" s="28">
        <f t="shared" si="44"/>
        <v>4.0449740536139105</v>
      </c>
      <c r="AN43" s="28">
        <f t="shared" si="45"/>
        <v>0.24722037440674502</v>
      </c>
      <c r="AO43" s="28">
        <f t="shared" si="46"/>
        <v>0.49721260483493879</v>
      </c>
      <c r="AP43" s="28">
        <f>IF(AO43-(2.51/(AH43*AK43))&gt;0, AO43-(2.51/(AH43*AK43)), AO43)</f>
        <v>0.4972019744114371</v>
      </c>
      <c r="AQ43" s="28">
        <f t="shared" ref="AQ43:AQ49" si="78">AP43*3.7*S$5</f>
        <v>416.12822046390812</v>
      </c>
      <c r="AT43" s="72"/>
      <c r="AU43" s="73"/>
      <c r="AV43" s="74"/>
      <c r="AW43" s="74"/>
      <c r="AX43" s="58"/>
      <c r="AY43" s="70"/>
      <c r="AZ43" s="70"/>
      <c r="BA43" s="58"/>
      <c r="BB43" s="58"/>
      <c r="BC43" s="72"/>
      <c r="BD43" s="71"/>
      <c r="BE43" s="71"/>
      <c r="BF43" s="58"/>
      <c r="BG43" s="58"/>
      <c r="BH43" s="58"/>
      <c r="BI43" s="58"/>
      <c r="BJ43" s="58"/>
      <c r="BK43" s="58"/>
      <c r="BL43" s="58"/>
      <c r="BM43" s="58"/>
      <c r="BN43" s="58"/>
      <c r="BO43" s="58"/>
      <c r="BP43" s="58"/>
      <c r="BQ43" s="58"/>
      <c r="BR43" s="58"/>
      <c r="BS43" s="58"/>
    </row>
    <row r="44" spans="1:71" ht="15.75" x14ac:dyDescent="0.25">
      <c r="A44" s="21">
        <f t="shared" si="64"/>
        <v>0</v>
      </c>
      <c r="B44" s="5"/>
      <c r="C44" s="5"/>
      <c r="D44" s="5" t="e">
        <f t="shared" ref="D44:D52" si="79">C44/A44</f>
        <v>#DIV/0!</v>
      </c>
      <c r="E44" s="30">
        <f t="shared" si="65"/>
        <v>0</v>
      </c>
      <c r="F44" s="15" t="e">
        <f t="shared" ref="F44:F52" si="80">(C44/$AU$2*($S$5/1000)*2*$AU$2)/((A44^2)*$AT$2)</f>
        <v>#DIV/0!</v>
      </c>
      <c r="G44" s="30" t="e">
        <f t="shared" ref="G44:G52" si="81">((3.7^2)/(10^(1/(F44^0.5))))^0.5*$S$5</f>
        <v>#DIV/0!</v>
      </c>
      <c r="H44" s="30"/>
      <c r="I44" s="15" t="e">
        <f t="shared" si="66"/>
        <v>#DIV/0!</v>
      </c>
      <c r="J44" s="15" t="e">
        <f t="shared" si="67"/>
        <v>#DIV/0!</v>
      </c>
      <c r="K44" s="15" t="e">
        <f t="shared" si="68"/>
        <v>#DIV/0!</v>
      </c>
      <c r="L44" s="15" t="e">
        <f t="shared" si="69"/>
        <v>#DIV/0!</v>
      </c>
      <c r="M44" s="15" t="e">
        <f t="shared" si="70"/>
        <v>#DIV/0!</v>
      </c>
      <c r="N44" s="15" t="e">
        <f t="shared" ref="N44:N52" si="82">IF(M44-(2.51/(E44*I44))&gt;0, M44-(2.51/(E44*I44)), M44)</f>
        <v>#DIV/0!</v>
      </c>
      <c r="O44" s="5" t="e">
        <f t="shared" ref="O44:O52" si="83">N44*3.7*S$5</f>
        <v>#DIV/0!</v>
      </c>
      <c r="P44" s="15">
        <f t="shared" ref="P44:P52" si="84">(Q44/3600)/(PI()*($S$5/1000/2)^2)</f>
        <v>1.2091033401365847</v>
      </c>
      <c r="Q44" s="59">
        <v>174.92061846944821</v>
      </c>
      <c r="R44" s="59">
        <v>2.7189130000000001</v>
      </c>
      <c r="S44" s="5">
        <f t="shared" ref="S44:S52" si="85">R44/P44</f>
        <v>2.2487019179790386</v>
      </c>
      <c r="T44" s="5">
        <f t="shared" si="71"/>
        <v>272681.13214246801</v>
      </c>
      <c r="U44" s="25">
        <f t="shared" ref="U44:U52" si="86">(R44/$AU$2*($S$5/1000)*2*$AU$2)/((P44^2)*$AT$2)</f>
        <v>0.76488893871236807</v>
      </c>
      <c r="V44" s="30">
        <f t="shared" ref="V44:V52" si="87">((3.7^2)/(10^(1/(U44^0.5))))^0.5*$S$5</f>
        <v>224.38347688301192</v>
      </c>
      <c r="W44" s="25">
        <f t="shared" si="72"/>
        <v>0.87457929240999532</v>
      </c>
      <c r="X44" s="25">
        <f t="shared" si="73"/>
        <v>1.1434069028142602</v>
      </c>
      <c r="Y44" s="25">
        <f t="shared" si="74"/>
        <v>13.912555275097587</v>
      </c>
      <c r="Z44" s="25">
        <f t="shared" si="75"/>
        <v>7.1877522153671061E-2</v>
      </c>
      <c r="AA44" s="25">
        <f t="shared" si="76"/>
        <v>0.26809983616867628</v>
      </c>
      <c r="AB44" s="25">
        <f t="shared" ref="AB44:AB52" si="88">IF(AA44-(2.51/(T44*W44))&gt;0, AA44-(2.51/(T44*W44)), AA44)</f>
        <v>0.26808931123318286</v>
      </c>
      <c r="AC44" s="5">
        <f t="shared" ref="AC44:AC52" si="89">AB44*3.7*$S$5</f>
        <v>224.37466814350006</v>
      </c>
      <c r="AD44" s="25">
        <f t="shared" ref="AD44:AD49" si="90">(AE44/3600)/(PI()*($S$5/1000/2)^2)</f>
        <v>1.2510092491332563</v>
      </c>
      <c r="AE44" s="59">
        <v>180.98313378628964</v>
      </c>
      <c r="AF44" s="59">
        <v>3.4934820000000002</v>
      </c>
      <c r="AG44" s="5">
        <f t="shared" ref="AG44:AG49" si="91">AF44/AD44</f>
        <v>2.7925309124775928</v>
      </c>
      <c r="AH44" s="22">
        <f t="shared" si="77"/>
        <v>282131.89646454889</v>
      </c>
      <c r="AI44" s="22">
        <f t="shared" ref="AI44:AI49" si="92">(AF44/$AU$2*($S$5/1000)*2*$AU$2)/((AD44^2)*$AT$2)</f>
        <v>0.91805220877765137</v>
      </c>
      <c r="AJ44" s="22">
        <f t="shared" ref="AJ44:AJ49" si="93">((3.7^2)/(10^(1/(AI44^0.5))))^0.5*$S$5</f>
        <v>251.6839884530539</v>
      </c>
      <c r="AK44" s="28">
        <f t="shared" si="42"/>
        <v>0.95815041031022441</v>
      </c>
      <c r="AL44" s="28">
        <f t="shared" si="43"/>
        <v>1.0436774740577794</v>
      </c>
      <c r="AM44" s="28">
        <f t="shared" si="44"/>
        <v>11.058022621853455</v>
      </c>
      <c r="AN44" s="28">
        <f t="shared" si="45"/>
        <v>9.0432081231570871E-2</v>
      </c>
      <c r="AO44" s="28">
        <f t="shared" si="46"/>
        <v>0.30071927312955993</v>
      </c>
      <c r="AP44" s="28">
        <f t="shared" ref="AP44:AP49" si="94">IF(AO44-(2.51/(AH44*AK44))&gt;0, AO44-(2.51/(AH44*AK44)), AO44)</f>
        <v>0.30070998800266463</v>
      </c>
      <c r="AQ44" s="28">
        <f t="shared" si="78"/>
        <v>251.67621735895011</v>
      </c>
      <c r="AT44" s="58"/>
      <c r="AU44" s="67"/>
      <c r="AV44" s="67"/>
      <c r="AW44" s="67"/>
      <c r="AX44" s="67"/>
      <c r="AY44" s="67"/>
      <c r="AZ44" s="67"/>
      <c r="BA44" s="67"/>
      <c r="BB44" s="58"/>
      <c r="BC44" s="58"/>
      <c r="BD44" s="71"/>
      <c r="BE44" s="71"/>
      <c r="BF44" s="58"/>
      <c r="BG44" s="58"/>
      <c r="BH44" s="58"/>
      <c r="BI44" s="58"/>
      <c r="BJ44" s="58"/>
      <c r="BK44" s="58"/>
      <c r="BL44" s="58"/>
      <c r="BM44" s="58"/>
      <c r="BN44" s="58"/>
      <c r="BO44" s="58"/>
      <c r="BP44" s="58"/>
      <c r="BQ44" s="58"/>
      <c r="BR44" s="58"/>
      <c r="BS44" s="58"/>
    </row>
    <row r="45" spans="1:71" ht="15.75" x14ac:dyDescent="0.25">
      <c r="A45" s="21">
        <f t="shared" si="64"/>
        <v>0</v>
      </c>
      <c r="B45" s="5"/>
      <c r="C45" s="5"/>
      <c r="D45" s="5" t="e">
        <f t="shared" si="79"/>
        <v>#DIV/0!</v>
      </c>
      <c r="E45" s="30">
        <f t="shared" si="65"/>
        <v>0</v>
      </c>
      <c r="F45" s="15" t="e">
        <f t="shared" si="80"/>
        <v>#DIV/0!</v>
      </c>
      <c r="G45" s="30" t="e">
        <f t="shared" si="81"/>
        <v>#DIV/0!</v>
      </c>
      <c r="H45" s="30"/>
      <c r="I45" s="15" t="e">
        <f t="shared" si="66"/>
        <v>#DIV/0!</v>
      </c>
      <c r="J45" s="15" t="e">
        <f t="shared" si="67"/>
        <v>#DIV/0!</v>
      </c>
      <c r="K45" s="15" t="e">
        <f t="shared" si="68"/>
        <v>#DIV/0!</v>
      </c>
      <c r="L45" s="15" t="e">
        <f t="shared" si="69"/>
        <v>#DIV/0!</v>
      </c>
      <c r="M45" s="15" t="e">
        <f t="shared" si="70"/>
        <v>#DIV/0!</v>
      </c>
      <c r="N45" s="15" t="e">
        <f t="shared" si="82"/>
        <v>#DIV/0!</v>
      </c>
      <c r="O45" s="5" t="e">
        <f t="shared" si="83"/>
        <v>#DIV/0!</v>
      </c>
      <c r="P45" s="15">
        <f t="shared" si="84"/>
        <v>1.9146798651126145</v>
      </c>
      <c r="Q45" s="59">
        <v>276.99616323834215</v>
      </c>
      <c r="R45" s="59">
        <v>3.9806490000000001</v>
      </c>
      <c r="S45" s="5">
        <f t="shared" si="85"/>
        <v>2.0790154388372768</v>
      </c>
      <c r="T45" s="5">
        <f t="shared" si="71"/>
        <v>431805.16997853777</v>
      </c>
      <c r="U45" s="25">
        <f t="shared" si="86"/>
        <v>0.44657196492867601</v>
      </c>
      <c r="V45" s="30">
        <f t="shared" si="87"/>
        <v>149.44555455387354</v>
      </c>
      <c r="W45" s="25">
        <f t="shared" si="72"/>
        <v>0.66826040203552084</v>
      </c>
      <c r="X45" s="25">
        <f t="shared" si="73"/>
        <v>1.4964226474500069</v>
      </c>
      <c r="Y45" s="25">
        <f t="shared" si="74"/>
        <v>31.363364649214073</v>
      </c>
      <c r="Z45" s="25">
        <f t="shared" si="75"/>
        <v>3.1884334196428721E-2</v>
      </c>
      <c r="AA45" s="25">
        <f t="shared" si="76"/>
        <v>0.17856184977880554</v>
      </c>
      <c r="AB45" s="25">
        <f t="shared" si="88"/>
        <v>0.17855315136316294</v>
      </c>
      <c r="AC45" s="5">
        <f t="shared" si="89"/>
        <v>149.43827450188559</v>
      </c>
      <c r="AD45" s="25">
        <f t="shared" si="90"/>
        <v>1.8733078528584599</v>
      </c>
      <c r="AE45" s="59">
        <v>271.01088660350564</v>
      </c>
      <c r="AF45" s="59">
        <v>6.3767565916876903</v>
      </c>
      <c r="AG45" s="5">
        <f t="shared" si="91"/>
        <v>3.404008893656997</v>
      </c>
      <c r="AH45" s="22">
        <f t="shared" si="77"/>
        <v>422474.8118809408</v>
      </c>
      <c r="AI45" s="22">
        <f t="shared" si="92"/>
        <v>0.74732832578410635</v>
      </c>
      <c r="AJ45" s="22">
        <f t="shared" si="93"/>
        <v>220.95964935417621</v>
      </c>
      <c r="AK45" s="28">
        <f t="shared" si="42"/>
        <v>0.86448153582601539</v>
      </c>
      <c r="AL45" s="28">
        <f t="shared" si="43"/>
        <v>1.1567627052259666</v>
      </c>
      <c r="AM45" s="28">
        <f t="shared" si="44"/>
        <v>14.347053084981315</v>
      </c>
      <c r="AN45" s="28">
        <f t="shared" si="45"/>
        <v>6.9700724885921925E-2</v>
      </c>
      <c r="AO45" s="28">
        <f t="shared" si="46"/>
        <v>0.2640089484959211</v>
      </c>
      <c r="AP45" s="28">
        <f t="shared" si="94"/>
        <v>0.264002075957468</v>
      </c>
      <c r="AQ45" s="28">
        <f t="shared" si="78"/>
        <v>220.95389745184326</v>
      </c>
      <c r="AT45" s="58"/>
      <c r="AU45" s="65"/>
      <c r="AV45" s="87"/>
      <c r="AW45" s="87"/>
      <c r="AX45" s="58"/>
      <c r="AY45" s="88"/>
      <c r="AZ45" s="88"/>
      <c r="BA45" s="58"/>
      <c r="BB45" s="58"/>
      <c r="BC45" s="58"/>
      <c r="BD45" s="71"/>
      <c r="BE45" s="71"/>
      <c r="BF45" s="58"/>
      <c r="BG45" s="58"/>
      <c r="BH45" s="58"/>
      <c r="BI45" s="58"/>
      <c r="BJ45" s="58"/>
      <c r="BK45" s="58"/>
      <c r="BL45" s="58"/>
      <c r="BM45" s="58"/>
      <c r="BN45" s="58"/>
      <c r="BO45" s="58"/>
      <c r="BP45" s="58"/>
      <c r="BQ45" s="58"/>
      <c r="BR45" s="58"/>
      <c r="BS45" s="58"/>
    </row>
    <row r="46" spans="1:71" ht="15.75" x14ac:dyDescent="0.25">
      <c r="A46" s="21">
        <f t="shared" si="64"/>
        <v>0</v>
      </c>
      <c r="B46" s="5"/>
      <c r="C46" s="5"/>
      <c r="D46" s="5" t="e">
        <f t="shared" si="79"/>
        <v>#DIV/0!</v>
      </c>
      <c r="E46" s="30">
        <f t="shared" si="65"/>
        <v>0</v>
      </c>
      <c r="F46" s="15" t="e">
        <f t="shared" si="80"/>
        <v>#DIV/0!</v>
      </c>
      <c r="G46" s="30" t="e">
        <f t="shared" si="81"/>
        <v>#DIV/0!</v>
      </c>
      <c r="H46" s="30"/>
      <c r="I46" s="15" t="e">
        <f t="shared" si="66"/>
        <v>#DIV/0!</v>
      </c>
      <c r="J46" s="15" t="e">
        <f t="shared" si="67"/>
        <v>#DIV/0!</v>
      </c>
      <c r="K46" s="15" t="e">
        <f t="shared" si="68"/>
        <v>#DIV/0!</v>
      </c>
      <c r="L46" s="15" t="e">
        <f t="shared" si="69"/>
        <v>#DIV/0!</v>
      </c>
      <c r="M46" s="15" t="e">
        <f t="shared" si="70"/>
        <v>#DIV/0!</v>
      </c>
      <c r="N46" s="15" t="e">
        <f t="shared" si="82"/>
        <v>#DIV/0!</v>
      </c>
      <c r="O46" s="5" t="e">
        <f t="shared" si="83"/>
        <v>#DIV/0!</v>
      </c>
      <c r="P46" s="15">
        <f t="shared" si="84"/>
        <v>2.5137577991214126</v>
      </c>
      <c r="Q46" s="59">
        <v>363.66458871501038</v>
      </c>
      <c r="R46" s="59">
        <v>6.387604795904485</v>
      </c>
      <c r="S46" s="5">
        <f t="shared" si="85"/>
        <v>2.5410581712116524</v>
      </c>
      <c r="T46" s="5">
        <f t="shared" si="71"/>
        <v>566911.28032030258</v>
      </c>
      <c r="U46" s="25">
        <f t="shared" si="86"/>
        <v>0.41573930654660846</v>
      </c>
      <c r="V46" s="30">
        <f t="shared" si="87"/>
        <v>140.35704549797364</v>
      </c>
      <c r="W46" s="25">
        <f t="shared" si="72"/>
        <v>0.64477849417191979</v>
      </c>
      <c r="X46" s="25">
        <f t="shared" si="73"/>
        <v>1.5509202137460965</v>
      </c>
      <c r="Y46" s="25">
        <f t="shared" si="74"/>
        <v>35.55659898908268</v>
      </c>
      <c r="Z46" s="25">
        <f t="shared" si="75"/>
        <v>2.8124174651997527E-2</v>
      </c>
      <c r="AA46" s="25">
        <f t="shared" si="76"/>
        <v>0.16770263758211296</v>
      </c>
      <c r="AB46" s="25">
        <f t="shared" si="88"/>
        <v>0.16769577088202842</v>
      </c>
      <c r="AC46" s="5">
        <f t="shared" si="89"/>
        <v>140.35129848200486</v>
      </c>
      <c r="AD46" s="25">
        <f t="shared" si="90"/>
        <v>2.4878847406727935</v>
      </c>
      <c r="AE46" s="59">
        <v>359.92154109013381</v>
      </c>
      <c r="AF46" s="59">
        <v>8.55718365523785</v>
      </c>
      <c r="AG46" s="5">
        <f t="shared" si="91"/>
        <v>3.4395418386318606</v>
      </c>
      <c r="AH46" s="22">
        <f t="shared" si="77"/>
        <v>561076.29944186029</v>
      </c>
      <c r="AI46" s="22">
        <f t="shared" si="92"/>
        <v>0.56859135369761193</v>
      </c>
      <c r="AJ46" s="22">
        <f t="shared" si="93"/>
        <v>181.80603438778741</v>
      </c>
      <c r="AK46" s="28">
        <f t="shared" si="42"/>
        <v>0.75404996763981891</v>
      </c>
      <c r="AL46" s="28">
        <f t="shared" si="43"/>
        <v>1.3261720614218793</v>
      </c>
      <c r="AM46" s="28">
        <f t="shared" si="44"/>
        <v>21.19200566685673</v>
      </c>
      <c r="AN46" s="28">
        <f t="shared" si="45"/>
        <v>4.7187605350821116E-2</v>
      </c>
      <c r="AO46" s="28">
        <f t="shared" si="46"/>
        <v>0.21722708245249053</v>
      </c>
      <c r="AP46" s="28">
        <f t="shared" si="94"/>
        <v>0.21722114976227089</v>
      </c>
      <c r="AQ46" s="28">
        <f t="shared" si="78"/>
        <v>181.80106908203499</v>
      </c>
      <c r="AT46" s="58"/>
      <c r="AU46" s="66"/>
      <c r="AV46" s="67"/>
      <c r="AW46" s="67"/>
      <c r="AX46" s="58"/>
      <c r="AY46" s="64"/>
      <c r="AZ46" s="64"/>
      <c r="BA46" s="58"/>
      <c r="BB46" s="58"/>
      <c r="BC46" s="58"/>
      <c r="BD46" s="71"/>
      <c r="BE46" s="71"/>
      <c r="BF46" s="58"/>
      <c r="BG46" s="58"/>
      <c r="BH46" s="58"/>
      <c r="BI46" s="58"/>
      <c r="BJ46" s="58"/>
      <c r="BK46" s="58"/>
      <c r="BL46" s="58"/>
      <c r="BM46" s="58"/>
      <c r="BN46" s="58"/>
      <c r="BO46" s="58"/>
      <c r="BP46" s="58"/>
      <c r="BQ46" s="58"/>
      <c r="BR46" s="58"/>
      <c r="BS46" s="58"/>
    </row>
    <row r="47" spans="1:71" ht="15.75" x14ac:dyDescent="0.25">
      <c r="A47" s="21">
        <f t="shared" si="64"/>
        <v>0</v>
      </c>
      <c r="B47" s="5"/>
      <c r="C47" s="5"/>
      <c r="D47" s="5" t="e">
        <f t="shared" si="79"/>
        <v>#DIV/0!</v>
      </c>
      <c r="E47" s="30">
        <f t="shared" si="65"/>
        <v>0</v>
      </c>
      <c r="F47" s="15" t="e">
        <f t="shared" si="80"/>
        <v>#DIV/0!</v>
      </c>
      <c r="G47" s="30" t="e">
        <f t="shared" si="81"/>
        <v>#DIV/0!</v>
      </c>
      <c r="H47" s="30"/>
      <c r="I47" s="15" t="e">
        <f t="shared" si="66"/>
        <v>#DIV/0!</v>
      </c>
      <c r="J47" s="15" t="e">
        <f t="shared" si="67"/>
        <v>#DIV/0!</v>
      </c>
      <c r="K47" s="15" t="e">
        <f t="shared" si="68"/>
        <v>#DIV/0!</v>
      </c>
      <c r="L47" s="15" t="e">
        <f t="shared" si="69"/>
        <v>#DIV/0!</v>
      </c>
      <c r="M47" s="15" t="e">
        <f t="shared" si="70"/>
        <v>#DIV/0!</v>
      </c>
      <c r="N47" s="15" t="e">
        <f t="shared" si="82"/>
        <v>#DIV/0!</v>
      </c>
      <c r="O47" s="5" t="e">
        <f t="shared" si="83"/>
        <v>#DIV/0!</v>
      </c>
      <c r="P47" s="15">
        <f t="shared" si="84"/>
        <v>3.7473749969875914</v>
      </c>
      <c r="Q47" s="59">
        <v>542.13161964796916</v>
      </c>
      <c r="R47" s="59">
        <v>10.400239665558715</v>
      </c>
      <c r="S47" s="5">
        <f t="shared" si="85"/>
        <v>2.7753399843675033</v>
      </c>
      <c r="T47" s="5">
        <f t="shared" si="71"/>
        <v>845120.86173339293</v>
      </c>
      <c r="U47" s="25">
        <f t="shared" si="86"/>
        <v>0.3045923200633584</v>
      </c>
      <c r="V47" s="30">
        <f t="shared" si="87"/>
        <v>103.92766777127989</v>
      </c>
      <c r="W47" s="25">
        <f t="shared" si="72"/>
        <v>0.5518988313661829</v>
      </c>
      <c r="X47" s="25">
        <f t="shared" si="73"/>
        <v>1.8119262864256793</v>
      </c>
      <c r="Y47" s="25">
        <f t="shared" si="74"/>
        <v>64.852434901564749</v>
      </c>
      <c r="Z47" s="25">
        <f t="shared" si="75"/>
        <v>1.5419621507162133E-2</v>
      </c>
      <c r="AA47" s="25">
        <f t="shared" si="76"/>
        <v>0.12417576859903921</v>
      </c>
      <c r="AB47" s="25">
        <f t="shared" si="88"/>
        <v>0.12417038719717724</v>
      </c>
      <c r="AC47" s="5">
        <f t="shared" si="89"/>
        <v>103.92316386080552</v>
      </c>
      <c r="AD47" s="25">
        <f t="shared" si="90"/>
        <v>3.7083528818544531</v>
      </c>
      <c r="AE47" s="59">
        <v>536.48630192657117</v>
      </c>
      <c r="AF47" s="59">
        <v>14.915865905018304</v>
      </c>
      <c r="AG47" s="5">
        <f t="shared" si="91"/>
        <v>4.0222347711308579</v>
      </c>
      <c r="AH47" s="22">
        <f t="shared" si="77"/>
        <v>836320.46049399534</v>
      </c>
      <c r="AI47" s="22">
        <f t="shared" si="92"/>
        <v>0.44608361630000554</v>
      </c>
      <c r="AJ47" s="22">
        <f t="shared" si="93"/>
        <v>149.30472845294045</v>
      </c>
      <c r="AK47" s="28">
        <f t="shared" si="42"/>
        <v>0.66789491411449264</v>
      </c>
      <c r="AL47" s="28">
        <f t="shared" si="43"/>
        <v>1.4972415253765159</v>
      </c>
      <c r="AM47" s="28">
        <f t="shared" si="44"/>
        <v>31.422557192985689</v>
      </c>
      <c r="AN47" s="28">
        <f t="shared" si="45"/>
        <v>3.1824271775793771E-2</v>
      </c>
      <c r="AO47" s="28">
        <f t="shared" si="46"/>
        <v>0.17839358670028968</v>
      </c>
      <c r="AP47" s="28">
        <f t="shared" si="94"/>
        <v>0.17838909311630338</v>
      </c>
      <c r="AQ47" s="28">
        <f t="shared" si="78"/>
        <v>149.30096759275895</v>
      </c>
      <c r="AT47" s="58"/>
      <c r="AU47" s="70"/>
      <c r="AV47" s="69"/>
      <c r="AW47" s="69"/>
      <c r="AX47" s="58"/>
      <c r="AY47" s="70"/>
      <c r="AZ47" s="70"/>
      <c r="BA47" s="58"/>
      <c r="BB47" s="58"/>
      <c r="BC47" s="58"/>
      <c r="BD47" s="71"/>
      <c r="BE47" s="71"/>
      <c r="BF47" s="58"/>
      <c r="BG47" s="58"/>
      <c r="BH47" s="58"/>
      <c r="BI47" s="58"/>
      <c r="BJ47" s="58"/>
      <c r="BK47" s="58"/>
      <c r="BL47" s="58"/>
      <c r="BM47" s="58"/>
      <c r="BN47" s="58"/>
      <c r="BO47" s="58"/>
      <c r="BP47" s="58"/>
      <c r="BQ47" s="58"/>
      <c r="BR47" s="58"/>
      <c r="BS47" s="58"/>
    </row>
    <row r="48" spans="1:71" ht="15.75" x14ac:dyDescent="0.25">
      <c r="A48" s="21">
        <f t="shared" si="64"/>
        <v>0</v>
      </c>
      <c r="B48" s="5"/>
      <c r="C48" s="5"/>
      <c r="D48" s="5" t="e">
        <f t="shared" si="79"/>
        <v>#DIV/0!</v>
      </c>
      <c r="E48" s="30">
        <f t="shared" si="65"/>
        <v>0</v>
      </c>
      <c r="F48" s="15" t="e">
        <f t="shared" si="80"/>
        <v>#DIV/0!</v>
      </c>
      <c r="G48" s="30" t="e">
        <f t="shared" si="81"/>
        <v>#DIV/0!</v>
      </c>
      <c r="H48" s="30"/>
      <c r="I48" s="15" t="e">
        <f t="shared" si="66"/>
        <v>#DIV/0!</v>
      </c>
      <c r="J48" s="15" t="e">
        <f t="shared" si="67"/>
        <v>#DIV/0!</v>
      </c>
      <c r="K48" s="15" t="e">
        <f t="shared" si="68"/>
        <v>#DIV/0!</v>
      </c>
      <c r="L48" s="15" t="e">
        <f t="shared" si="69"/>
        <v>#DIV/0!</v>
      </c>
      <c r="M48" s="15" t="e">
        <f t="shared" si="70"/>
        <v>#DIV/0!</v>
      </c>
      <c r="N48" s="15" t="e">
        <f t="shared" si="82"/>
        <v>#DIV/0!</v>
      </c>
      <c r="O48" s="5" t="e">
        <f t="shared" si="83"/>
        <v>#DIV/0!</v>
      </c>
      <c r="P48" s="15">
        <f t="shared" si="84"/>
        <v>4.8676290108585967</v>
      </c>
      <c r="Q48" s="59">
        <v>704.19843266914756</v>
      </c>
      <c r="R48" s="59">
        <v>15.321361401316517</v>
      </c>
      <c r="S48" s="5">
        <f t="shared" si="85"/>
        <v>3.1476025323906098</v>
      </c>
      <c r="T48" s="5">
        <f t="shared" si="71"/>
        <v>1097764.3890889478</v>
      </c>
      <c r="U48" s="25">
        <f t="shared" si="86"/>
        <v>0.2659453041673957</v>
      </c>
      <c r="V48" s="30">
        <f t="shared" si="87"/>
        <v>89.771032385297957</v>
      </c>
      <c r="W48" s="25">
        <f t="shared" si="72"/>
        <v>0.51569885026766904</v>
      </c>
      <c r="X48" s="25">
        <f t="shared" si="73"/>
        <v>1.9391162099371728</v>
      </c>
      <c r="Y48" s="25">
        <f t="shared" si="74"/>
        <v>86.919297967050383</v>
      </c>
      <c r="Z48" s="25">
        <f t="shared" si="75"/>
        <v>1.1504924952098473E-2</v>
      </c>
      <c r="AA48" s="25">
        <f t="shared" si="76"/>
        <v>0.10726101319723991</v>
      </c>
      <c r="AB48" s="25">
        <f t="shared" si="88"/>
        <v>0.10725657947563688</v>
      </c>
      <c r="AC48" s="5">
        <f t="shared" si="89"/>
        <v>89.767321626339537</v>
      </c>
      <c r="AD48" s="25">
        <f t="shared" si="90"/>
        <v>4.913570881866919</v>
      </c>
      <c r="AE48" s="59">
        <v>710.84482940270675</v>
      </c>
      <c r="AF48" s="59">
        <v>23.527286582370735</v>
      </c>
      <c r="AG48" s="5">
        <f t="shared" si="91"/>
        <v>4.7882257421371532</v>
      </c>
      <c r="AH48" s="22">
        <f t="shared" si="77"/>
        <v>1108125.3574060788</v>
      </c>
      <c r="AI48" s="22">
        <f t="shared" si="92"/>
        <v>0.40078116447523376</v>
      </c>
      <c r="AJ48" s="22">
        <f t="shared" si="93"/>
        <v>135.79873884889875</v>
      </c>
      <c r="AK48" s="28">
        <f t="shared" si="42"/>
        <v>0.63307279555769391</v>
      </c>
      <c r="AL48" s="28">
        <f t="shared" si="43"/>
        <v>1.5795971758967597</v>
      </c>
      <c r="AM48" s="28">
        <f t="shared" si="44"/>
        <v>37.983692016649343</v>
      </c>
      <c r="AN48" s="28">
        <f t="shared" si="45"/>
        <v>2.6327087939784034E-2</v>
      </c>
      <c r="AO48" s="28">
        <f t="shared" si="46"/>
        <v>0.16225624160501204</v>
      </c>
      <c r="AP48" s="28">
        <f t="shared" si="94"/>
        <v>0.16225266368047037</v>
      </c>
      <c r="AQ48" s="28">
        <f t="shared" si="78"/>
        <v>135.79574434073285</v>
      </c>
      <c r="AT48" s="58"/>
      <c r="AU48" s="70"/>
      <c r="AV48" s="74"/>
      <c r="AW48" s="69"/>
      <c r="AX48" s="58"/>
      <c r="AY48" s="76"/>
      <c r="AZ48" s="76"/>
      <c r="BA48" s="58"/>
      <c r="BB48" s="58"/>
      <c r="BC48" s="58"/>
      <c r="BD48" s="71"/>
      <c r="BE48" s="71"/>
      <c r="BF48" s="58"/>
      <c r="BG48" s="58"/>
      <c r="BH48" s="58"/>
      <c r="BI48" s="58"/>
      <c r="BJ48" s="58"/>
      <c r="BK48" s="58"/>
      <c r="BL48" s="58"/>
      <c r="BM48" s="58"/>
      <c r="BN48" s="58"/>
      <c r="BO48" s="58"/>
      <c r="BP48" s="58"/>
      <c r="BQ48" s="58"/>
      <c r="BR48" s="58"/>
      <c r="BS48" s="58"/>
    </row>
    <row r="49" spans="1:71" ht="15.75" x14ac:dyDescent="0.25">
      <c r="A49" s="21">
        <f t="shared" si="64"/>
        <v>0</v>
      </c>
      <c r="B49" s="5"/>
      <c r="C49" s="5"/>
      <c r="D49" s="5" t="e">
        <f t="shared" si="79"/>
        <v>#DIV/0!</v>
      </c>
      <c r="E49" s="30">
        <f t="shared" si="65"/>
        <v>0</v>
      </c>
      <c r="F49" s="15" t="e">
        <f t="shared" si="80"/>
        <v>#DIV/0!</v>
      </c>
      <c r="G49" s="30" t="e">
        <f t="shared" si="81"/>
        <v>#DIV/0!</v>
      </c>
      <c r="H49" s="30"/>
      <c r="I49" s="15" t="e">
        <f t="shared" si="66"/>
        <v>#DIV/0!</v>
      </c>
      <c r="J49" s="15" t="e">
        <f t="shared" si="67"/>
        <v>#DIV/0!</v>
      </c>
      <c r="K49" s="15" t="e">
        <f t="shared" si="68"/>
        <v>#DIV/0!</v>
      </c>
      <c r="L49" s="15" t="e">
        <f t="shared" si="69"/>
        <v>#DIV/0!</v>
      </c>
      <c r="M49" s="15" t="e">
        <f t="shared" si="70"/>
        <v>#DIV/0!</v>
      </c>
      <c r="N49" s="15" t="e">
        <f t="shared" si="82"/>
        <v>#DIV/0!</v>
      </c>
      <c r="O49" s="5" t="e">
        <f t="shared" si="83"/>
        <v>#DIV/0!</v>
      </c>
      <c r="P49" s="15">
        <f t="shared" si="84"/>
        <v>5.5324812564308949</v>
      </c>
      <c r="Q49" s="59">
        <v>800.38240812088236</v>
      </c>
      <c r="R49" s="59">
        <v>18.889611797082534</v>
      </c>
      <c r="S49" s="5">
        <f t="shared" si="85"/>
        <v>3.4143110336118099</v>
      </c>
      <c r="T49" s="5">
        <f t="shared" si="71"/>
        <v>1247704.147761384</v>
      </c>
      <c r="U49" s="25">
        <f t="shared" si="86"/>
        <v>0.25381252018136558</v>
      </c>
      <c r="V49" s="30">
        <f t="shared" si="87"/>
        <v>85.159528237984517</v>
      </c>
      <c r="W49" s="25">
        <f t="shared" si="72"/>
        <v>0.50379809465833192</v>
      </c>
      <c r="X49" s="25">
        <f t="shared" si="73"/>
        <v>1.9849221555277705</v>
      </c>
      <c r="Y49" s="25">
        <f t="shared" si="74"/>
        <v>96.587773614631217</v>
      </c>
      <c r="Z49" s="25">
        <f t="shared" si="75"/>
        <v>1.035327725836015E-2</v>
      </c>
      <c r="AA49" s="25">
        <f t="shared" si="76"/>
        <v>0.10175105531816439</v>
      </c>
      <c r="AB49" s="25">
        <f t="shared" si="88"/>
        <v>0.10174706226049979</v>
      </c>
      <c r="AC49" s="5">
        <f t="shared" si="89"/>
        <v>85.156186288302692</v>
      </c>
      <c r="AD49" s="25">
        <f t="shared" si="90"/>
        <v>6.2276941728067454</v>
      </c>
      <c r="AE49" s="59">
        <v>900.95865273424624</v>
      </c>
      <c r="AF49" s="59">
        <v>35.811080821020397</v>
      </c>
      <c r="AG49" s="5">
        <f t="shared" si="91"/>
        <v>5.7502953464525675</v>
      </c>
      <c r="AH49" s="22">
        <f t="shared" si="77"/>
        <v>1404490.9490417605</v>
      </c>
      <c r="AI49" s="22">
        <f t="shared" si="92"/>
        <v>0.3797456304270268</v>
      </c>
      <c r="AJ49" s="22">
        <f t="shared" si="93"/>
        <v>129.21579611664723</v>
      </c>
      <c r="AK49" s="28">
        <f t="shared" si="42"/>
        <v>0.61623504478975133</v>
      </c>
      <c r="AL49" s="28">
        <f t="shared" si="43"/>
        <v>1.6227574339612292</v>
      </c>
      <c r="AM49" s="28">
        <f t="shared" si="44"/>
        <v>41.952460190923155</v>
      </c>
      <c r="AN49" s="28">
        <f t="shared" si="45"/>
        <v>2.3836504353953483E-2</v>
      </c>
      <c r="AO49" s="28">
        <f t="shared" si="46"/>
        <v>0.15439075216460824</v>
      </c>
      <c r="AP49" s="28">
        <f t="shared" si="94"/>
        <v>0.15438785209525427</v>
      </c>
      <c r="AQ49" s="28">
        <f t="shared" si="78"/>
        <v>129.21336893260209</v>
      </c>
      <c r="AT49" s="58"/>
      <c r="AU49" s="70"/>
      <c r="AV49" s="74"/>
      <c r="AW49" s="69"/>
      <c r="AX49" s="58"/>
      <c r="AY49" s="70"/>
      <c r="AZ49" s="70"/>
      <c r="BA49" s="58"/>
      <c r="BB49" s="58"/>
      <c r="BC49" s="58"/>
      <c r="BD49" s="71"/>
      <c r="BE49" s="71"/>
      <c r="BF49" s="58"/>
      <c r="BG49" s="58"/>
      <c r="BH49" s="58"/>
      <c r="BI49" s="58"/>
      <c r="BJ49" s="58"/>
      <c r="BK49" s="58"/>
      <c r="BL49" s="58"/>
      <c r="BM49" s="58"/>
      <c r="BN49" s="58"/>
      <c r="BO49" s="58"/>
      <c r="BP49" s="58"/>
      <c r="BQ49" s="58"/>
      <c r="BR49" s="58"/>
      <c r="BS49" s="58"/>
    </row>
    <row r="50" spans="1:71" x14ac:dyDescent="0.2">
      <c r="A50" s="21">
        <f t="shared" si="64"/>
        <v>0</v>
      </c>
      <c r="B50" s="5"/>
      <c r="C50" s="5"/>
      <c r="D50" s="5" t="e">
        <f t="shared" si="79"/>
        <v>#DIV/0!</v>
      </c>
      <c r="E50" s="30">
        <f t="shared" si="65"/>
        <v>0</v>
      </c>
      <c r="F50" s="15" t="e">
        <f t="shared" si="80"/>
        <v>#DIV/0!</v>
      </c>
      <c r="G50" s="30" t="e">
        <f t="shared" si="81"/>
        <v>#DIV/0!</v>
      </c>
      <c r="H50" s="30"/>
      <c r="I50" s="15" t="e">
        <f t="shared" si="66"/>
        <v>#DIV/0!</v>
      </c>
      <c r="J50" s="15" t="e">
        <f t="shared" si="67"/>
        <v>#DIV/0!</v>
      </c>
      <c r="K50" s="15" t="e">
        <f t="shared" si="68"/>
        <v>#DIV/0!</v>
      </c>
      <c r="L50" s="15" t="e">
        <f t="shared" si="69"/>
        <v>#DIV/0!</v>
      </c>
      <c r="M50" s="15" t="e">
        <f t="shared" si="70"/>
        <v>#DIV/0!</v>
      </c>
      <c r="N50" s="15" t="e">
        <f t="shared" si="82"/>
        <v>#DIV/0!</v>
      </c>
      <c r="O50" s="5" t="e">
        <f t="shared" si="83"/>
        <v>#DIV/0!</v>
      </c>
      <c r="P50" s="15">
        <f t="shared" si="84"/>
        <v>6.2362270639408877</v>
      </c>
      <c r="Q50" s="59">
        <v>902.19310354169181</v>
      </c>
      <c r="R50" s="59">
        <v>23.494225102926503</v>
      </c>
      <c r="S50" s="5">
        <f t="shared" si="85"/>
        <v>3.7673780736392382</v>
      </c>
      <c r="T50" s="5">
        <f t="shared" si="71"/>
        <v>1406415.3159156817</v>
      </c>
      <c r="U50" s="25">
        <f t="shared" si="86"/>
        <v>0.24845468888907818</v>
      </c>
      <c r="V50" s="30">
        <f t="shared" si="87"/>
        <v>83.097756804403488</v>
      </c>
      <c r="W50" s="25">
        <f t="shared" si="72"/>
        <v>0.49845229349364839</v>
      </c>
      <c r="X50" s="25">
        <f t="shared" si="73"/>
        <v>2.0062100486909338</v>
      </c>
      <c r="Y50" s="25">
        <f t="shared" si="74"/>
        <v>101.44018876395641</v>
      </c>
      <c r="Z50" s="25">
        <f t="shared" si="75"/>
        <v>9.8580258197953855E-3</v>
      </c>
      <c r="AA50" s="25">
        <f t="shared" si="76"/>
        <v>9.9287591469404607E-2</v>
      </c>
      <c r="AB50" s="25">
        <f t="shared" si="88"/>
        <v>9.9284011028289362E-2</v>
      </c>
      <c r="AC50" s="5">
        <f t="shared" si="89"/>
        <v>83.094760190016501</v>
      </c>
      <c r="AD50" s="25"/>
      <c r="AE50" s="59"/>
      <c r="AF50" s="59"/>
      <c r="AG50" s="5"/>
      <c r="AI50" s="22"/>
      <c r="AJ50" s="22"/>
      <c r="AQ50" s="28"/>
      <c r="AT50" s="58"/>
      <c r="AU50" s="58"/>
      <c r="AV50" s="58"/>
      <c r="AW50" s="58"/>
      <c r="AX50" s="58"/>
      <c r="AY50" s="58"/>
      <c r="AZ50" s="58"/>
      <c r="BA50" s="58"/>
      <c r="BB50" s="58"/>
      <c r="BC50" s="58"/>
      <c r="BD50" s="71"/>
      <c r="BE50" s="71"/>
      <c r="BF50" s="58"/>
      <c r="BG50" s="58"/>
      <c r="BH50" s="58"/>
      <c r="BI50" s="58"/>
      <c r="BJ50" s="58"/>
      <c r="BK50" s="58"/>
      <c r="BL50" s="58"/>
      <c r="BM50" s="58"/>
      <c r="BN50" s="58"/>
      <c r="BO50" s="58"/>
      <c r="BP50" s="58"/>
      <c r="BQ50" s="58"/>
      <c r="BR50" s="58"/>
      <c r="BS50" s="58"/>
    </row>
    <row r="51" spans="1:71" ht="15.75" x14ac:dyDescent="0.25">
      <c r="A51" s="21">
        <f t="shared" si="64"/>
        <v>0</v>
      </c>
      <c r="B51" s="5"/>
      <c r="C51" s="5"/>
      <c r="D51" s="5" t="e">
        <f t="shared" si="79"/>
        <v>#DIV/0!</v>
      </c>
      <c r="E51" s="30">
        <f t="shared" si="65"/>
        <v>0</v>
      </c>
      <c r="F51" s="15" t="e">
        <f t="shared" si="80"/>
        <v>#DIV/0!</v>
      </c>
      <c r="G51" s="30" t="e">
        <f t="shared" si="81"/>
        <v>#DIV/0!</v>
      </c>
      <c r="H51" s="30"/>
      <c r="I51" s="15" t="e">
        <f t="shared" si="66"/>
        <v>#DIV/0!</v>
      </c>
      <c r="J51" s="15" t="e">
        <f t="shared" si="67"/>
        <v>#DIV/0!</v>
      </c>
      <c r="K51" s="15" t="e">
        <f t="shared" si="68"/>
        <v>#DIV/0!</v>
      </c>
      <c r="L51" s="15" t="e">
        <f t="shared" si="69"/>
        <v>#DIV/0!</v>
      </c>
      <c r="M51" s="15" t="e">
        <f t="shared" si="70"/>
        <v>#DIV/0!</v>
      </c>
      <c r="N51" s="15" t="e">
        <f t="shared" si="82"/>
        <v>#DIV/0!</v>
      </c>
      <c r="O51" s="5" t="e">
        <f t="shared" si="83"/>
        <v>#DIV/0!</v>
      </c>
      <c r="P51" s="15">
        <f t="shared" si="84"/>
        <v>8.3055485421478128</v>
      </c>
      <c r="Q51" s="59">
        <v>1201.5612226796134</v>
      </c>
      <c r="R51" s="59">
        <v>37.954628389099788</v>
      </c>
      <c r="S51" s="5">
        <f t="shared" si="85"/>
        <v>4.5697918923106711</v>
      </c>
      <c r="T51" s="5">
        <f t="shared" si="71"/>
        <v>1873095.7928552693</v>
      </c>
      <c r="U51" s="25">
        <f t="shared" si="86"/>
        <v>0.226286170634238</v>
      </c>
      <c r="V51" s="30">
        <f t="shared" si="87"/>
        <v>74.404924107061547</v>
      </c>
      <c r="W51" s="25">
        <f t="shared" si="72"/>
        <v>0.47569545996807455</v>
      </c>
      <c r="X51" s="25">
        <f t="shared" si="73"/>
        <v>2.1021852932275475</v>
      </c>
      <c r="Y51" s="25">
        <f t="shared" si="74"/>
        <v>126.52760666920713</v>
      </c>
      <c r="Z51" s="25">
        <f t="shared" si="75"/>
        <v>7.9034135421085835E-3</v>
      </c>
      <c r="AA51" s="25">
        <f t="shared" si="76"/>
        <v>8.8901144773892438E-2</v>
      </c>
      <c r="AB51" s="25">
        <f t="shared" si="88"/>
        <v>8.8898327787646392E-2</v>
      </c>
      <c r="AC51" s="5">
        <f t="shared" si="89"/>
        <v>74.402566458592773</v>
      </c>
      <c r="AD51" s="25"/>
      <c r="AE51" s="59"/>
      <c r="AF51" s="59"/>
      <c r="AG51" s="5"/>
      <c r="AI51" s="22"/>
      <c r="AJ51" s="22"/>
      <c r="AQ51" s="28"/>
      <c r="AT51" s="58"/>
      <c r="AU51" s="65"/>
      <c r="AV51" s="87"/>
      <c r="AW51" s="87"/>
      <c r="AX51" s="58"/>
      <c r="AY51" s="88"/>
      <c r="AZ51" s="88"/>
      <c r="BA51" s="58"/>
      <c r="BB51" s="58"/>
      <c r="BC51" s="58"/>
      <c r="BD51" s="71"/>
      <c r="BE51" s="71"/>
      <c r="BF51" s="58"/>
      <c r="BG51" s="58"/>
      <c r="BH51" s="58"/>
      <c r="BI51" s="58"/>
      <c r="BJ51" s="58"/>
      <c r="BK51" s="58"/>
      <c r="BL51" s="58"/>
      <c r="BM51" s="58"/>
      <c r="BN51" s="58"/>
      <c r="BO51" s="58"/>
      <c r="BP51" s="58"/>
      <c r="BQ51" s="58"/>
      <c r="BR51" s="58"/>
      <c r="BS51" s="58"/>
    </row>
    <row r="52" spans="1:71" ht="15.75" x14ac:dyDescent="0.25">
      <c r="A52" s="21">
        <f t="shared" si="64"/>
        <v>0</v>
      </c>
      <c r="B52" s="5"/>
      <c r="C52" s="5"/>
      <c r="D52" s="5" t="e">
        <f t="shared" si="79"/>
        <v>#DIV/0!</v>
      </c>
      <c r="E52" s="30">
        <f t="shared" si="65"/>
        <v>0</v>
      </c>
      <c r="F52" s="15" t="e">
        <f t="shared" si="80"/>
        <v>#DIV/0!</v>
      </c>
      <c r="G52" s="30" t="e">
        <f t="shared" si="81"/>
        <v>#DIV/0!</v>
      </c>
      <c r="H52" s="30"/>
      <c r="I52" s="15" t="e">
        <f t="shared" si="66"/>
        <v>#DIV/0!</v>
      </c>
      <c r="J52" s="15" t="e">
        <f t="shared" si="67"/>
        <v>#DIV/0!</v>
      </c>
      <c r="K52" s="15" t="e">
        <f t="shared" si="68"/>
        <v>#DIV/0!</v>
      </c>
      <c r="L52" s="15" t="e">
        <f t="shared" si="69"/>
        <v>#DIV/0!</v>
      </c>
      <c r="M52" s="15" t="e">
        <f t="shared" si="70"/>
        <v>#DIV/0!</v>
      </c>
      <c r="N52" s="15" t="e">
        <f t="shared" si="82"/>
        <v>#DIV/0!</v>
      </c>
      <c r="O52" s="5" t="e">
        <f t="shared" si="83"/>
        <v>#DIV/0!</v>
      </c>
      <c r="P52" s="15">
        <f t="shared" si="84"/>
        <v>9.2286226885942142</v>
      </c>
      <c r="Q52" s="59">
        <v>1335.1020832741453</v>
      </c>
      <c r="R52" s="59">
        <v>45.892762584852129</v>
      </c>
      <c r="S52" s="5">
        <f t="shared" si="85"/>
        <v>4.972872348716959</v>
      </c>
      <c r="T52" s="5">
        <f t="shared" si="71"/>
        <v>2081270.640239293</v>
      </c>
      <c r="U52" s="25">
        <f t="shared" si="86"/>
        <v>0.22161560205117681</v>
      </c>
      <c r="V52" s="30">
        <f t="shared" si="87"/>
        <v>72.540992292741578</v>
      </c>
      <c r="W52" s="25">
        <f t="shared" si="72"/>
        <v>0.47076066323682653</v>
      </c>
      <c r="X52" s="25">
        <f t="shared" si="73"/>
        <v>2.1242216652603534</v>
      </c>
      <c r="Y52" s="25">
        <f t="shared" si="74"/>
        <v>133.11336593982585</v>
      </c>
      <c r="Z52" s="25">
        <f t="shared" si="75"/>
        <v>7.5123936123142722E-3</v>
      </c>
      <c r="AA52" s="25">
        <f t="shared" si="76"/>
        <v>8.6674065396254912E-2</v>
      </c>
      <c r="AB52" s="25">
        <f t="shared" si="88"/>
        <v>8.6671503597574473E-2</v>
      </c>
      <c r="AC52" s="5">
        <f t="shared" si="89"/>
        <v>72.53884822095398</v>
      </c>
      <c r="AD52" s="25"/>
      <c r="AE52" s="59"/>
      <c r="AF52" s="59"/>
      <c r="AG52" s="5"/>
      <c r="AI52" s="22"/>
      <c r="AJ52" s="22"/>
      <c r="AQ52" s="28"/>
      <c r="AT52" s="58"/>
      <c r="AU52" s="66"/>
      <c r="AV52" s="67"/>
      <c r="AW52" s="67"/>
      <c r="AX52" s="58"/>
      <c r="AY52" s="64"/>
      <c r="AZ52" s="64"/>
      <c r="BA52" s="58"/>
      <c r="BB52" s="58"/>
      <c r="BC52" s="58"/>
      <c r="BD52" s="71"/>
      <c r="BE52" s="71"/>
      <c r="BF52" s="58"/>
      <c r="BG52" s="58"/>
      <c r="BH52" s="58"/>
      <c r="BI52" s="58"/>
      <c r="BJ52" s="58"/>
      <c r="BK52" s="58"/>
      <c r="BL52" s="58"/>
      <c r="BM52" s="58"/>
      <c r="BN52" s="58"/>
      <c r="BO52" s="58"/>
      <c r="BP52" s="58"/>
      <c r="BQ52" s="58"/>
      <c r="BR52" s="58"/>
      <c r="BS52" s="58"/>
    </row>
    <row r="53" spans="1:71" s="20" customFormat="1" ht="15.75" x14ac:dyDescent="0.25">
      <c r="A53" s="20" t="s">
        <v>68</v>
      </c>
      <c r="G53" s="39" t="e">
        <f>AVERAGE(G43:G52)</f>
        <v>#DIV/0!</v>
      </c>
      <c r="H53" s="39"/>
      <c r="I53" s="39"/>
      <c r="J53" s="39"/>
      <c r="K53" s="39"/>
      <c r="L53" s="39"/>
      <c r="M53" s="39"/>
      <c r="N53" s="39"/>
      <c r="O53" s="39" t="e">
        <f>AVERAGE(O43:O52)</f>
        <v>#DIV/0!</v>
      </c>
      <c r="P53" s="39"/>
      <c r="Q53" s="39"/>
      <c r="R53" s="39"/>
      <c r="S53" s="39"/>
      <c r="T53" s="39"/>
      <c r="U53" s="39"/>
      <c r="V53" s="39">
        <f>AVERAGE(V51:V52)</f>
        <v>73.472958199901569</v>
      </c>
      <c r="W53" s="39"/>
      <c r="X53" s="39"/>
      <c r="Y53" s="39"/>
      <c r="Z53" s="39"/>
      <c r="AA53" s="39"/>
      <c r="AB53" s="39"/>
      <c r="AC53" s="39">
        <f>AVERAGE(AC51:AC52)</f>
        <v>73.470707339773384</v>
      </c>
      <c r="AD53" s="39"/>
      <c r="AE53" s="39"/>
      <c r="AF53" s="39"/>
      <c r="AG53" s="39"/>
      <c r="AH53" s="39"/>
      <c r="AI53" s="39"/>
      <c r="AJ53" s="39">
        <f>AVERAGE(AJ48:AJ49)</f>
        <v>132.50726748277299</v>
      </c>
      <c r="AK53" s="39"/>
      <c r="AL53" s="39"/>
      <c r="AM53" s="39"/>
      <c r="AN53" s="39"/>
      <c r="AO53" s="39"/>
      <c r="AP53" s="39"/>
      <c r="AQ53" s="39">
        <f>AVERAGE(AQ48:AQ49)</f>
        <v>132.50455663666747</v>
      </c>
      <c r="AT53" s="64"/>
      <c r="AU53" s="77"/>
      <c r="AV53" s="69"/>
      <c r="AW53" s="69"/>
      <c r="AX53" s="64"/>
      <c r="AY53" s="77"/>
      <c r="AZ53" s="77"/>
      <c r="BA53" s="64"/>
      <c r="BB53" s="64"/>
      <c r="BC53" s="64"/>
      <c r="BD53" s="71"/>
      <c r="BE53" s="71"/>
      <c r="BF53" s="64"/>
      <c r="BG53" s="64"/>
      <c r="BH53" s="64"/>
      <c r="BI53" s="64"/>
      <c r="BJ53" s="64"/>
      <c r="BK53" s="64"/>
      <c r="BL53" s="64"/>
      <c r="BM53" s="64"/>
      <c r="BN53" s="64"/>
      <c r="BO53" s="64"/>
      <c r="BP53" s="64"/>
      <c r="BQ53" s="64"/>
      <c r="BR53" s="64"/>
      <c r="BS53" s="64"/>
    </row>
    <row r="54" spans="1:71" s="20" customFormat="1" ht="15.75" x14ac:dyDescent="0.25">
      <c r="A54" s="20" t="s">
        <v>69</v>
      </c>
      <c r="G54" s="39" t="e">
        <f>STDEV(G43:G52)</f>
        <v>#DIV/0!</v>
      </c>
      <c r="H54" s="39"/>
      <c r="I54" s="39"/>
      <c r="J54" s="39"/>
      <c r="K54" s="39"/>
      <c r="L54" s="39"/>
      <c r="M54" s="39"/>
      <c r="N54" s="39"/>
      <c r="O54" s="39" t="e">
        <f>STDEV(O43:O52)</f>
        <v>#DIV/0!</v>
      </c>
      <c r="P54" s="39"/>
      <c r="Q54" s="39"/>
      <c r="R54" s="39"/>
      <c r="S54" s="39"/>
      <c r="T54" s="39"/>
      <c r="U54" s="39"/>
      <c r="V54" s="39">
        <f>STDEV(V49:V52)</f>
        <v>6.2558287482267287</v>
      </c>
      <c r="W54" s="39"/>
      <c r="X54" s="39"/>
      <c r="Y54" s="39"/>
      <c r="Z54" s="39"/>
      <c r="AA54" s="39"/>
      <c r="AB54" s="39"/>
      <c r="AC54" s="39">
        <f>STDEV(AC49:AC52)</f>
        <v>6.2552777179148187</v>
      </c>
      <c r="AD54" s="39"/>
      <c r="AE54" s="39"/>
      <c r="AF54" s="39"/>
      <c r="AG54" s="39"/>
      <c r="AH54" s="39"/>
      <c r="AI54" s="39"/>
      <c r="AJ54" s="39">
        <f>STDEV(AJ48:AJ49)</f>
        <v>4.6548434461377521</v>
      </c>
      <c r="AK54" s="39"/>
      <c r="AL54" s="39"/>
      <c r="AM54" s="39"/>
      <c r="AN54" s="39"/>
      <c r="AO54" s="39"/>
      <c r="AP54" s="39"/>
      <c r="AQ54" s="39">
        <f>STDEV(AQ48:AQ49)</f>
        <v>4.6544422874048275</v>
      </c>
      <c r="AT54" s="64"/>
      <c r="AU54" s="77"/>
      <c r="AV54" s="69"/>
      <c r="AW54" s="69"/>
      <c r="AX54" s="64"/>
      <c r="AY54" s="78"/>
      <c r="AZ54" s="78"/>
      <c r="BA54" s="64"/>
      <c r="BB54" s="64"/>
      <c r="BC54" s="64"/>
      <c r="BD54" s="71"/>
      <c r="BE54" s="71"/>
      <c r="BF54" s="64"/>
      <c r="BG54" s="64"/>
      <c r="BH54" s="64"/>
      <c r="BI54" s="64"/>
      <c r="BJ54" s="64"/>
      <c r="BK54" s="64"/>
      <c r="BL54" s="64"/>
      <c r="BM54" s="64"/>
      <c r="BN54" s="64"/>
      <c r="BO54" s="64"/>
      <c r="BP54" s="64"/>
      <c r="BQ54" s="64"/>
      <c r="BR54" s="64"/>
      <c r="BS54" s="64"/>
    </row>
    <row r="55" spans="1:71" ht="15.75" x14ac:dyDescent="0.25">
      <c r="AT55" s="58"/>
      <c r="AU55" s="77"/>
      <c r="AV55" s="69"/>
      <c r="AW55" s="69"/>
      <c r="AX55" s="58"/>
      <c r="AY55" s="75"/>
      <c r="AZ55" s="75"/>
      <c r="BA55" s="58"/>
      <c r="BB55" s="58"/>
      <c r="BC55" s="58"/>
      <c r="BD55" s="71"/>
      <c r="BE55" s="71"/>
      <c r="BF55" s="58"/>
      <c r="BG55" s="58"/>
      <c r="BH55" s="58"/>
      <c r="BI55" s="58"/>
      <c r="BJ55" s="58"/>
      <c r="BK55" s="58"/>
      <c r="BL55" s="58"/>
      <c r="BM55" s="58"/>
      <c r="BN55" s="58"/>
      <c r="BO55" s="58"/>
      <c r="BP55" s="58"/>
      <c r="BQ55" s="58"/>
      <c r="BR55" s="58"/>
      <c r="BS55" s="58"/>
    </row>
    <row r="56" spans="1:71" x14ac:dyDescent="0.2">
      <c r="AT56" s="58"/>
      <c r="AU56" s="58"/>
      <c r="AV56" s="58"/>
      <c r="AW56" s="58"/>
      <c r="AX56" s="58"/>
      <c r="AY56" s="58"/>
      <c r="AZ56" s="58"/>
      <c r="BA56" s="58"/>
      <c r="BB56" s="58"/>
      <c r="BC56" s="58"/>
      <c r="BD56" s="58"/>
      <c r="BE56" s="58"/>
      <c r="BF56" s="58"/>
      <c r="BG56" s="58"/>
      <c r="BH56" s="58"/>
      <c r="BI56" s="58"/>
      <c r="BJ56" s="58"/>
      <c r="BK56" s="58"/>
      <c r="BL56" s="58"/>
      <c r="BM56" s="58"/>
      <c r="BN56" s="58"/>
      <c r="BO56" s="58"/>
      <c r="BP56" s="58"/>
      <c r="BQ56" s="58"/>
      <c r="BR56" s="58"/>
      <c r="BS56" s="58"/>
    </row>
    <row r="57" spans="1:71" x14ac:dyDescent="0.2">
      <c r="AT57" s="58"/>
      <c r="AU57" s="58"/>
      <c r="AV57" s="58"/>
      <c r="AW57" s="58"/>
      <c r="AX57" s="58"/>
      <c r="AY57" s="58"/>
      <c r="AZ57" s="58"/>
      <c r="BA57" s="58"/>
      <c r="BB57" s="58"/>
      <c r="BC57" s="58"/>
      <c r="BD57" s="58"/>
      <c r="BE57" s="58"/>
      <c r="BF57" s="58"/>
      <c r="BG57" s="58"/>
      <c r="BH57" s="58"/>
      <c r="BI57" s="58"/>
      <c r="BJ57" s="58"/>
      <c r="BK57" s="58"/>
      <c r="BL57" s="58"/>
      <c r="BM57" s="58"/>
      <c r="BN57" s="58"/>
      <c r="BO57" s="58"/>
      <c r="BP57" s="58"/>
      <c r="BQ57" s="58"/>
      <c r="BR57" s="58"/>
      <c r="BS57" s="58"/>
    </row>
    <row r="58" spans="1:71" x14ac:dyDescent="0.2">
      <c r="AT58" s="58"/>
      <c r="AU58" s="58"/>
      <c r="AV58" s="58"/>
      <c r="AW58" s="58"/>
      <c r="AX58" s="58"/>
      <c r="AY58" s="58"/>
      <c r="AZ58" s="58"/>
      <c r="BA58" s="58"/>
      <c r="BB58" s="58"/>
      <c r="BC58" s="58"/>
      <c r="BD58" s="58"/>
      <c r="BE58" s="58"/>
      <c r="BF58" s="58"/>
      <c r="BG58" s="58"/>
      <c r="BH58" s="58"/>
      <c r="BI58" s="58"/>
      <c r="BJ58" s="58"/>
      <c r="BK58" s="58"/>
      <c r="BL58" s="58"/>
      <c r="BM58" s="58"/>
      <c r="BN58" s="58"/>
      <c r="BO58" s="58"/>
      <c r="BP58" s="58"/>
      <c r="BQ58" s="58"/>
      <c r="BR58" s="58"/>
      <c r="BS58" s="58"/>
    </row>
  </sheetData>
  <mergeCells count="19">
    <mergeCell ref="B25:AG25"/>
    <mergeCell ref="B2:D2"/>
    <mergeCell ref="B11:AG11"/>
    <mergeCell ref="B12:D12"/>
    <mergeCell ref="Q12:S12"/>
    <mergeCell ref="AE12:AG12"/>
    <mergeCell ref="AV51:AW51"/>
    <mergeCell ref="AY51:AZ51"/>
    <mergeCell ref="B26:D26"/>
    <mergeCell ref="Q26:S26"/>
    <mergeCell ref="AE26:AG26"/>
    <mergeCell ref="AV39:AW39"/>
    <mergeCell ref="AY39:AZ39"/>
    <mergeCell ref="B40:AG40"/>
    <mergeCell ref="B41:D41"/>
    <mergeCell ref="Q41:S41"/>
    <mergeCell ref="AE41:AG41"/>
    <mergeCell ref="AV45:AW45"/>
    <mergeCell ref="AY45:AZ45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E53"/>
  <sheetViews>
    <sheetView topLeftCell="E1" zoomScale="150" zoomScaleNormal="150" workbookViewId="0">
      <selection activeCell="G13" sqref="G13"/>
    </sheetView>
  </sheetViews>
  <sheetFormatPr baseColWidth="10" defaultRowHeight="12.75" x14ac:dyDescent="0.2"/>
  <cols>
    <col min="1" max="5" width="11.42578125" style="1"/>
    <col min="6" max="6" width="12.7109375" style="1" bestFit="1" customWidth="1"/>
    <col min="7" max="10" width="11.42578125" style="1"/>
    <col min="11" max="11" width="20.140625" style="1" customWidth="1"/>
    <col min="12" max="14" width="11.42578125" style="1"/>
    <col min="15" max="15" width="15.140625" style="1" customWidth="1"/>
    <col min="16" max="41" width="11.42578125" style="1"/>
    <col min="42" max="42" width="11.85546875" style="1" bestFit="1" customWidth="1"/>
    <col min="43" max="44" width="11.42578125" style="1"/>
    <col min="45" max="45" width="31.5703125" style="1" customWidth="1"/>
    <col min="46" max="46" width="11.7109375" style="1" bestFit="1" customWidth="1"/>
    <col min="47" max="47" width="11.42578125" style="1"/>
    <col min="48" max="48" width="14.5703125" style="1" customWidth="1"/>
    <col min="49" max="49" width="11.7109375" style="1" bestFit="1" customWidth="1"/>
    <col min="50" max="50" width="12.28515625" style="1" bestFit="1" customWidth="1"/>
    <col min="51" max="51" width="11.42578125" style="1"/>
    <col min="52" max="52" width="12.28515625" style="1" bestFit="1" customWidth="1"/>
    <col min="53" max="16384" width="11.42578125" style="1"/>
  </cols>
  <sheetData>
    <row r="1" spans="1:57" x14ac:dyDescent="0.2">
      <c r="A1" s="1" t="s">
        <v>93</v>
      </c>
      <c r="AS1" s="1" t="s">
        <v>0</v>
      </c>
      <c r="AT1" s="1" t="s">
        <v>1</v>
      </c>
      <c r="AU1" s="1" t="s">
        <v>2</v>
      </c>
      <c r="AV1" s="1" t="s">
        <v>3</v>
      </c>
      <c r="AW1" s="1" t="s">
        <v>4</v>
      </c>
      <c r="AX1" s="1" t="s">
        <v>5</v>
      </c>
    </row>
    <row r="2" spans="1:57" ht="15" x14ac:dyDescent="0.25">
      <c r="B2" s="84" t="s">
        <v>6</v>
      </c>
      <c r="C2" s="84"/>
      <c r="D2" s="84"/>
      <c r="E2" s="18"/>
      <c r="F2" s="18" t="s">
        <v>67</v>
      </c>
      <c r="G2" s="18"/>
      <c r="H2" s="18"/>
      <c r="I2" s="18"/>
      <c r="J2" s="18"/>
      <c r="K2" s="18"/>
      <c r="L2" s="18"/>
      <c r="M2" s="18"/>
      <c r="N2" s="18"/>
      <c r="O2" s="18"/>
      <c r="P2" s="18"/>
      <c r="R2" s="2" t="s">
        <v>7</v>
      </c>
      <c r="AS2" s="1">
        <f>AW2*AT2</f>
        <v>4.4204630803944323E-2</v>
      </c>
      <c r="AT2" s="1">
        <v>1.1000000000000001</v>
      </c>
      <c r="AU2" s="1">
        <v>9.8066499999999994</v>
      </c>
      <c r="AV2" s="1">
        <v>0.22620000000000001</v>
      </c>
      <c r="AW2" s="1">
        <f>PI()*AV2*AV2/4</f>
        <v>4.0186028003585741E-2</v>
      </c>
      <c r="AX2" s="1">
        <v>1.003E-6</v>
      </c>
    </row>
    <row r="3" spans="1:57" ht="15" x14ac:dyDescent="0.25">
      <c r="A3" s="1" t="s">
        <v>55</v>
      </c>
      <c r="B3" s="3" t="s">
        <v>8</v>
      </c>
      <c r="C3" s="4" t="s">
        <v>9</v>
      </c>
      <c r="D3" s="3" t="s">
        <v>10</v>
      </c>
      <c r="E3" s="19" t="s">
        <v>57</v>
      </c>
      <c r="F3" s="19" t="s">
        <v>72</v>
      </c>
      <c r="G3" s="19"/>
      <c r="H3" s="19"/>
      <c r="I3" s="19"/>
      <c r="J3" s="19"/>
      <c r="K3" s="19"/>
      <c r="L3" s="19"/>
      <c r="M3" s="19"/>
      <c r="N3" s="19"/>
      <c r="O3" s="19"/>
      <c r="P3" s="19"/>
      <c r="R3" s="2" t="s">
        <v>11</v>
      </c>
    </row>
    <row r="4" spans="1:57" x14ac:dyDescent="0.2">
      <c r="A4" s="1">
        <f t="shared" ref="A4:A9" si="0">(B4/3600)/(PI()*(S$5/1000/2)^2)</f>
        <v>1.2447480260748909</v>
      </c>
      <c r="B4" s="5">
        <v>180.07732451971304</v>
      </c>
      <c r="C4" s="5">
        <v>1.9373307270665555E-2</v>
      </c>
      <c r="D4" s="5">
        <v>12928.869280652392</v>
      </c>
      <c r="E4" s="31">
        <f t="shared" ref="E4:E9" si="1">(C4/$AU$2)*($S$5/1000)*2*$AU$2/((A4^2)*$AT$2)</f>
        <v>5.1424583777043651E-3</v>
      </c>
      <c r="F4" s="32">
        <f t="shared" ref="F4:F9" si="2">((3.7^2)/(10^(1/E4^0.5)))^0.5*$S$5</f>
        <v>8.9177874782473554E-5</v>
      </c>
      <c r="G4" s="31"/>
      <c r="H4" s="31"/>
      <c r="I4" s="14"/>
      <c r="J4" s="14"/>
      <c r="K4" s="14"/>
      <c r="L4" s="14"/>
      <c r="M4" s="14"/>
      <c r="N4" s="14"/>
      <c r="O4" s="14"/>
      <c r="P4" s="14"/>
      <c r="Q4" s="1" t="s">
        <v>12</v>
      </c>
      <c r="R4" s="1" t="s">
        <v>13</v>
      </c>
      <c r="S4" s="1" t="s">
        <v>14</v>
      </c>
      <c r="T4" s="1" t="s">
        <v>86</v>
      </c>
      <c r="V4" s="58"/>
      <c r="W4" s="58"/>
      <c r="X4" s="58"/>
      <c r="Y4" s="58"/>
      <c r="Z4" s="58"/>
      <c r="AA4" s="58"/>
      <c r="AB4" s="58"/>
      <c r="AC4" s="58"/>
      <c r="AD4" s="58"/>
      <c r="AE4" s="58"/>
    </row>
    <row r="5" spans="1:57" ht="15" x14ac:dyDescent="0.25">
      <c r="A5" s="1">
        <f t="shared" si="0"/>
        <v>1.730527133123499</v>
      </c>
      <c r="B5" s="5">
        <v>250.35484259759707</v>
      </c>
      <c r="C5" s="5">
        <v>2.935002152981548E-2</v>
      </c>
      <c r="D5" s="5">
        <v>14603.440398887562</v>
      </c>
      <c r="E5" s="31">
        <f t="shared" si="1"/>
        <v>4.0307095950435409E-3</v>
      </c>
      <c r="F5" s="32">
        <f t="shared" si="2"/>
        <v>1.1147413860723222E-5</v>
      </c>
      <c r="G5" s="31"/>
      <c r="H5" s="31"/>
      <c r="I5" s="14"/>
      <c r="J5" s="14"/>
      <c r="K5" s="14"/>
      <c r="L5" s="14"/>
      <c r="M5" s="14"/>
      <c r="N5" s="14"/>
      <c r="O5" s="14"/>
      <c r="P5" s="14"/>
      <c r="Q5" s="1">
        <v>10</v>
      </c>
      <c r="R5" s="1">
        <v>250</v>
      </c>
      <c r="S5" s="6">
        <v>226.2</v>
      </c>
      <c r="T5" s="1">
        <v>26</v>
      </c>
      <c r="V5" s="58"/>
      <c r="W5" s="58"/>
      <c r="X5" s="58"/>
      <c r="Y5" s="58"/>
      <c r="Z5" s="58"/>
      <c r="AA5" s="58"/>
      <c r="AB5" s="58"/>
      <c r="AC5" s="58"/>
      <c r="AD5" s="58"/>
      <c r="AE5" s="58"/>
      <c r="AS5"/>
      <c r="AT5"/>
      <c r="AU5"/>
      <c r="AV5"/>
      <c r="AW5"/>
      <c r="AX5"/>
      <c r="AY5"/>
      <c r="AZ5"/>
      <c r="BA5" t="s">
        <v>15</v>
      </c>
      <c r="BB5" t="s">
        <v>16</v>
      </c>
      <c r="BC5"/>
      <c r="BD5"/>
      <c r="BE5"/>
    </row>
    <row r="6" spans="1:57" ht="15" x14ac:dyDescent="0.25">
      <c r="A6" s="1">
        <f t="shared" si="0"/>
        <v>2.0820465833562762</v>
      </c>
      <c r="B6" s="5">
        <v>301.20905629269106</v>
      </c>
      <c r="C6" s="5">
        <v>2.935002152981548E-2</v>
      </c>
      <c r="D6" s="5">
        <v>17569.815928208856</v>
      </c>
      <c r="E6" s="31">
        <f t="shared" si="1"/>
        <v>2.7845655832371432E-3</v>
      </c>
      <c r="F6" s="32">
        <f t="shared" si="2"/>
        <v>2.8017617638793125E-7</v>
      </c>
      <c r="G6" s="31"/>
      <c r="H6" s="31"/>
      <c r="I6" s="14"/>
      <c r="J6" s="14"/>
      <c r="K6" s="14"/>
      <c r="L6" s="14"/>
      <c r="M6" s="14"/>
      <c r="N6" s="14"/>
      <c r="O6" s="14"/>
      <c r="P6" s="14"/>
      <c r="Q6" s="1">
        <v>10</v>
      </c>
      <c r="R6" s="1">
        <v>300</v>
      </c>
      <c r="S6" s="6">
        <v>285</v>
      </c>
      <c r="T6" s="1">
        <v>32</v>
      </c>
      <c r="U6" s="58"/>
      <c r="V6" s="58"/>
      <c r="W6" s="58"/>
      <c r="X6" s="58"/>
      <c r="Y6" s="58"/>
      <c r="Z6" s="58"/>
      <c r="AA6" s="58"/>
      <c r="AB6" s="58"/>
      <c r="AC6" s="58"/>
      <c r="AD6" s="58"/>
      <c r="AE6" s="58"/>
      <c r="AS6"/>
      <c r="AT6"/>
      <c r="AU6"/>
      <c r="AV6"/>
      <c r="AW6"/>
      <c r="AX6"/>
      <c r="AY6"/>
      <c r="AZ6"/>
      <c r="BA6"/>
      <c r="BB6" t="s">
        <v>17</v>
      </c>
      <c r="BC6"/>
      <c r="BD6"/>
      <c r="BE6"/>
    </row>
    <row r="7" spans="1:57" ht="15" x14ac:dyDescent="0.25">
      <c r="A7" s="1">
        <f t="shared" si="0"/>
        <v>2.7437302543826805</v>
      </c>
      <c r="B7" s="5">
        <v>396.93463501286806</v>
      </c>
      <c r="C7" s="5">
        <v>5.9280164307265258E-2</v>
      </c>
      <c r="D7" s="5">
        <v>16291.74839485054</v>
      </c>
      <c r="E7" s="31">
        <f t="shared" si="1"/>
        <v>3.2385938402762675E-3</v>
      </c>
      <c r="F7" s="32">
        <f t="shared" si="2"/>
        <v>1.3698813152578445E-6</v>
      </c>
      <c r="G7" s="31"/>
      <c r="H7" s="31"/>
      <c r="I7" s="14"/>
      <c r="J7" s="14"/>
      <c r="K7" s="14"/>
      <c r="L7" s="14"/>
      <c r="M7" s="14"/>
      <c r="N7" s="14"/>
      <c r="O7" s="14"/>
      <c r="P7" s="14"/>
      <c r="Q7" s="1">
        <v>16</v>
      </c>
      <c r="R7" s="1">
        <v>200</v>
      </c>
      <c r="S7" s="1">
        <v>170.4</v>
      </c>
      <c r="T7" s="1">
        <v>21</v>
      </c>
      <c r="U7" s="58"/>
      <c r="V7" s="58"/>
      <c r="W7" s="58"/>
      <c r="X7" s="58"/>
      <c r="Y7" s="58"/>
      <c r="Z7" s="58"/>
      <c r="AA7" s="58"/>
      <c r="AB7" s="58"/>
      <c r="AC7" s="58"/>
      <c r="AD7" s="58"/>
      <c r="AE7" s="58"/>
      <c r="AS7" t="s">
        <v>89</v>
      </c>
      <c r="AT7"/>
      <c r="AU7"/>
      <c r="AV7"/>
      <c r="AW7"/>
      <c r="AX7" t="s">
        <v>18</v>
      </c>
      <c r="AY7" t="s">
        <v>19</v>
      </c>
      <c r="AZ7" t="s">
        <v>20</v>
      </c>
      <c r="BA7"/>
      <c r="BB7"/>
    </row>
    <row r="8" spans="1:57" ht="15" x14ac:dyDescent="0.25">
      <c r="A8" s="1">
        <f t="shared" si="0"/>
        <v>3.1297123958147495</v>
      </c>
      <c r="B8" s="5">
        <v>452.77455593297128</v>
      </c>
      <c r="C8" s="5">
        <v>4.930345004811533E-2</v>
      </c>
      <c r="D8" s="5">
        <v>20377.305491159943</v>
      </c>
      <c r="E8" s="31">
        <f t="shared" si="1"/>
        <v>2.0701335388731688E-3</v>
      </c>
      <c r="F8" s="32">
        <f t="shared" si="2"/>
        <v>8.5777667248819494E-9</v>
      </c>
      <c r="G8" s="31"/>
      <c r="H8" s="31"/>
      <c r="I8" s="14"/>
      <c r="J8" s="14"/>
      <c r="K8" s="14"/>
      <c r="L8" s="14"/>
      <c r="M8" s="14"/>
      <c r="N8" s="14"/>
      <c r="O8" s="14"/>
      <c r="P8" s="14"/>
      <c r="S8" s="1" t="s">
        <v>21</v>
      </c>
      <c r="AS8" t="s">
        <v>22</v>
      </c>
      <c r="AT8"/>
      <c r="AU8"/>
      <c r="AV8" t="s">
        <v>23</v>
      </c>
      <c r="AW8" t="s">
        <v>24</v>
      </c>
      <c r="AX8" t="s">
        <v>25</v>
      </c>
      <c r="AY8"/>
      <c r="AZ8"/>
      <c r="BA8"/>
      <c r="BB8" t="s">
        <v>90</v>
      </c>
      <c r="BD8" s="1" t="s">
        <v>92</v>
      </c>
    </row>
    <row r="9" spans="1:57" ht="15" x14ac:dyDescent="0.25">
      <c r="A9" s="1">
        <f t="shared" si="0"/>
        <v>4.7563514204213275</v>
      </c>
      <c r="B9" s="5">
        <v>688.09993695340643</v>
      </c>
      <c r="C9" s="5">
        <v>5.9280164307265258E-2</v>
      </c>
      <c r="D9" s="5">
        <v>28242.310079577692</v>
      </c>
      <c r="E9" s="31">
        <f t="shared" si="1"/>
        <v>1.07768401299117E-3</v>
      </c>
      <c r="F9" s="32">
        <f t="shared" si="2"/>
        <v>4.9185750713091722E-13</v>
      </c>
      <c r="G9" s="14"/>
      <c r="H9" s="14"/>
      <c r="I9" s="14"/>
      <c r="J9" s="14"/>
      <c r="K9" s="14"/>
      <c r="L9" s="14"/>
      <c r="M9" s="14"/>
      <c r="N9" s="14"/>
      <c r="O9" s="14"/>
      <c r="P9" s="14"/>
      <c r="AS9" t="s">
        <v>26</v>
      </c>
      <c r="AT9">
        <f>AT10*AT11</f>
        <v>546</v>
      </c>
      <c r="AU9"/>
      <c r="AV9">
        <v>25</v>
      </c>
      <c r="AW9">
        <v>40</v>
      </c>
      <c r="AX9" s="7">
        <f>AT$9*AV9/100*AT$16*AW9</f>
        <v>274449.53421760432</v>
      </c>
      <c r="AY9" s="8">
        <f>(AX9/(1000)^3)/AS$2*100</f>
        <v>0.6208615007663757</v>
      </c>
      <c r="AZ9" s="9">
        <f>(AT$10*AV9/100*AT$12/1000)/(2*PI()*AV$2/2)*100</f>
        <v>7.3174686479032331</v>
      </c>
      <c r="BA9"/>
      <c r="BB9" t="s">
        <v>91</v>
      </c>
      <c r="BC9" s="1">
        <f>AT9</f>
        <v>546</v>
      </c>
    </row>
    <row r="10" spans="1:57" ht="15" x14ac:dyDescent="0.25">
      <c r="B10" s="85">
        <v>0.25</v>
      </c>
      <c r="C10" s="86"/>
      <c r="D10" s="86"/>
      <c r="E10" s="86"/>
      <c r="F10" s="86"/>
      <c r="G10" s="86"/>
      <c r="H10" s="86"/>
      <c r="I10" s="86"/>
      <c r="J10" s="86"/>
      <c r="K10" s="86"/>
      <c r="L10" s="86"/>
      <c r="M10" s="86"/>
      <c r="N10" s="86"/>
      <c r="O10" s="86"/>
      <c r="P10" s="86"/>
      <c r="Q10" s="86"/>
      <c r="R10" s="86"/>
      <c r="S10" s="86"/>
      <c r="T10" s="86"/>
      <c r="U10" s="86"/>
      <c r="V10" s="86"/>
      <c r="W10" s="86"/>
      <c r="X10" s="86"/>
      <c r="Y10" s="86"/>
      <c r="Z10" s="86"/>
      <c r="AA10" s="86"/>
      <c r="AB10" s="86"/>
      <c r="AC10" s="86"/>
      <c r="AD10" s="86"/>
      <c r="AE10" s="86"/>
      <c r="AF10" s="86"/>
      <c r="AG10" s="86"/>
      <c r="AS10" t="s">
        <v>27</v>
      </c>
      <c r="AT10">
        <v>26</v>
      </c>
      <c r="AU10"/>
      <c r="AV10" s="10">
        <v>25</v>
      </c>
      <c r="AW10">
        <v>30</v>
      </c>
      <c r="AX10" s="7">
        <f t="shared" ref="AX10:AX17" si="3">AT$9*AV10/100*AT$16*AW10</f>
        <v>205837.15066320327</v>
      </c>
      <c r="AY10" s="8">
        <f t="shared" ref="AY10:AY17" si="4">(AX10/(1000)^3)/AS$2*100</f>
        <v>0.46564612557478186</v>
      </c>
      <c r="AZ10" s="9">
        <f t="shared" ref="AZ10:AZ17" si="5">(AT$10*AV10/100*AT$12/1000)/(2*PI()*AV$2/2)*100</f>
        <v>7.3174686479032331</v>
      </c>
      <c r="BA10"/>
      <c r="BB10" s="61">
        <v>0.75</v>
      </c>
      <c r="BC10" s="1">
        <f>(AT11-5)*AT10</f>
        <v>416</v>
      </c>
      <c r="BD10" s="1">
        <f>BC9*0.75</f>
        <v>409.5</v>
      </c>
    </row>
    <row r="11" spans="1:57" ht="15" x14ac:dyDescent="0.25">
      <c r="B11" s="84" t="s">
        <v>28</v>
      </c>
      <c r="C11" s="84"/>
      <c r="D11" s="84"/>
      <c r="E11" s="23"/>
      <c r="F11" s="23"/>
      <c r="G11" s="23" t="s">
        <v>72</v>
      </c>
      <c r="H11" s="33"/>
      <c r="I11" s="23"/>
      <c r="J11" s="23"/>
      <c r="K11" s="23"/>
      <c r="L11" s="23"/>
      <c r="M11" s="23"/>
      <c r="N11" s="23"/>
      <c r="O11" s="23" t="s">
        <v>73</v>
      </c>
      <c r="P11" s="23"/>
      <c r="Q11" s="84" t="s">
        <v>29</v>
      </c>
      <c r="R11" s="84"/>
      <c r="S11" s="84"/>
      <c r="T11" s="23"/>
      <c r="U11" s="23"/>
      <c r="V11" s="23" t="s">
        <v>72</v>
      </c>
      <c r="W11" s="23"/>
      <c r="X11" s="23"/>
      <c r="Y11" s="23"/>
      <c r="Z11" s="23"/>
      <c r="AA11" s="23"/>
      <c r="AB11" s="23"/>
      <c r="AC11" s="23"/>
      <c r="AD11" s="23"/>
      <c r="AE11" s="84" t="s">
        <v>30</v>
      </c>
      <c r="AF11" s="84"/>
      <c r="AG11" s="84"/>
      <c r="AJ11" s="1" t="s">
        <v>72</v>
      </c>
      <c r="AS11" t="s">
        <v>31</v>
      </c>
      <c r="AT11">
        <v>21</v>
      </c>
      <c r="AU11"/>
      <c r="AV11">
        <v>25</v>
      </c>
      <c r="AW11">
        <v>20</v>
      </c>
      <c r="AX11" s="7">
        <f t="shared" si="3"/>
        <v>137224.76710880216</v>
      </c>
      <c r="AY11" s="8">
        <f t="shared" si="4"/>
        <v>0.31043075038318785</v>
      </c>
      <c r="AZ11" s="9">
        <f t="shared" si="5"/>
        <v>7.3174686479032331</v>
      </c>
      <c r="BA11"/>
      <c r="BB11" s="61">
        <v>0.5</v>
      </c>
      <c r="BC11" s="1">
        <f>(AT11-10)*AT10</f>
        <v>286</v>
      </c>
      <c r="BD11" s="1">
        <f>AT9*0.5</f>
        <v>273</v>
      </c>
    </row>
    <row r="12" spans="1:57" ht="15" x14ac:dyDescent="0.25">
      <c r="A12" s="20" t="s">
        <v>55</v>
      </c>
      <c r="B12" s="3" t="s">
        <v>8</v>
      </c>
      <c r="C12" s="4" t="s">
        <v>9</v>
      </c>
      <c r="D12" s="3" t="s">
        <v>88</v>
      </c>
      <c r="E12" s="3" t="s">
        <v>56</v>
      </c>
      <c r="F12" s="3" t="s">
        <v>57</v>
      </c>
      <c r="G12" s="3" t="s">
        <v>74</v>
      </c>
      <c r="H12" s="3" t="s">
        <v>85</v>
      </c>
      <c r="I12" s="3" t="s">
        <v>61</v>
      </c>
      <c r="J12" s="3" t="s">
        <v>62</v>
      </c>
      <c r="K12" s="3" t="s">
        <v>63</v>
      </c>
      <c r="L12" s="3" t="s">
        <v>65</v>
      </c>
      <c r="M12" s="3" t="s">
        <v>64</v>
      </c>
      <c r="N12" s="3" t="s">
        <v>66</v>
      </c>
      <c r="O12" s="29" t="s">
        <v>67</v>
      </c>
      <c r="P12" s="3" t="s">
        <v>55</v>
      </c>
      <c r="Q12" s="3" t="s">
        <v>8</v>
      </c>
      <c r="R12" s="4" t="s">
        <v>9</v>
      </c>
      <c r="S12" s="3" t="s">
        <v>88</v>
      </c>
      <c r="T12" s="3" t="s">
        <v>56</v>
      </c>
      <c r="U12" s="3" t="s">
        <v>57</v>
      </c>
      <c r="V12" s="3" t="s">
        <v>74</v>
      </c>
      <c r="W12" s="3" t="s">
        <v>61</v>
      </c>
      <c r="X12" s="3" t="s">
        <v>62</v>
      </c>
      <c r="Y12" s="3" t="s">
        <v>63</v>
      </c>
      <c r="Z12" s="3" t="s">
        <v>65</v>
      </c>
      <c r="AA12" s="3" t="s">
        <v>64</v>
      </c>
      <c r="AB12" s="3" t="s">
        <v>66</v>
      </c>
      <c r="AC12" s="3" t="s">
        <v>67</v>
      </c>
      <c r="AD12" s="3" t="s">
        <v>55</v>
      </c>
      <c r="AE12" s="3" t="s">
        <v>8</v>
      </c>
      <c r="AF12" s="4" t="s">
        <v>9</v>
      </c>
      <c r="AG12" s="3" t="s">
        <v>88</v>
      </c>
      <c r="AH12" s="27" t="s">
        <v>56</v>
      </c>
      <c r="AI12" s="27" t="s">
        <v>57</v>
      </c>
      <c r="AJ12" s="27" t="s">
        <v>74</v>
      </c>
      <c r="AK12" s="16" t="s">
        <v>61</v>
      </c>
      <c r="AL12" s="16" t="s">
        <v>62</v>
      </c>
      <c r="AM12" s="16" t="s">
        <v>63</v>
      </c>
      <c r="AN12" s="16" t="s">
        <v>65</v>
      </c>
      <c r="AO12" s="16" t="s">
        <v>64</v>
      </c>
      <c r="AP12" s="16" t="s">
        <v>66</v>
      </c>
      <c r="AQ12" s="16" t="s">
        <v>67</v>
      </c>
      <c r="AS12" t="s">
        <v>32</v>
      </c>
      <c r="AT12">
        <v>8</v>
      </c>
      <c r="AU12" t="s">
        <v>33</v>
      </c>
      <c r="AV12" s="11">
        <v>50</v>
      </c>
      <c r="AW12" s="11">
        <v>40</v>
      </c>
      <c r="AX12" s="7">
        <f t="shared" si="3"/>
        <v>548899.06843520864</v>
      </c>
      <c r="AY12" s="8">
        <f t="shared" si="4"/>
        <v>1.2417230015327514</v>
      </c>
      <c r="AZ12" s="9">
        <f t="shared" si="5"/>
        <v>14.634937295806466</v>
      </c>
      <c r="BA12"/>
      <c r="BB12" s="61">
        <v>0.25</v>
      </c>
      <c r="BC12" s="1">
        <f>(AT11-15)*AT10</f>
        <v>156</v>
      </c>
      <c r="BD12" s="1">
        <f>AT9*0.25</f>
        <v>136.5</v>
      </c>
    </row>
    <row r="13" spans="1:57" ht="15" x14ac:dyDescent="0.25">
      <c r="A13" s="21">
        <f>(B13/3600)/(PI()*(S$5/1000/2)^2)</f>
        <v>1.2668153511655595</v>
      </c>
      <c r="B13" s="5">
        <v>183.26979783832127</v>
      </c>
      <c r="C13" s="5">
        <v>0.14902402115791444</v>
      </c>
      <c r="D13" s="5">
        <f>C13/A13</f>
        <v>0.11763673452551851</v>
      </c>
      <c r="E13" s="24">
        <f>A13*$S$5/1000/$AX$2</f>
        <v>285696.54280523385</v>
      </c>
      <c r="F13" s="25">
        <f>(C13/$AU$2*($S$5/1000)*2*$AU$2)/((A13^2)*$AT$2)</f>
        <v>3.8190870193713748E-2</v>
      </c>
      <c r="G13" s="15">
        <f>((3.7^2)/(10^(1/(F13^0.5))))^0.5*$S$5</f>
        <v>2.3129487591546498</v>
      </c>
      <c r="H13" s="30"/>
      <c r="I13" s="25">
        <f>F13^0.5</f>
        <v>0.19542484538490429</v>
      </c>
      <c r="J13" s="25">
        <f>1/I13</f>
        <v>5.1170566261952155</v>
      </c>
      <c r="K13" s="25">
        <f>10^J13</f>
        <v>130935.26339512729</v>
      </c>
      <c r="L13" s="25">
        <f>1/K13</f>
        <v>7.6373619609430196E-6</v>
      </c>
      <c r="M13" s="25">
        <f>L13^0.5</f>
        <v>2.7635777464987336E-3</v>
      </c>
      <c r="N13" s="25">
        <f>M13-(2.51/(E13*I13))</f>
        <v>2.7186216122535045E-3</v>
      </c>
      <c r="O13" s="25">
        <f>N13*3.7*$S$5</f>
        <v>2.2753231721594482</v>
      </c>
      <c r="P13" s="25">
        <f>(Q13/3600)/(PI()*($S$5/1000/2)^2)</f>
        <v>1.251644065165725</v>
      </c>
      <c r="Q13" s="59">
        <v>181.07497243177812</v>
      </c>
      <c r="R13" s="59">
        <v>0.33858159208176297</v>
      </c>
      <c r="S13" s="5">
        <f>R13/P13</f>
        <v>0.27050948548773951</v>
      </c>
      <c r="T13" s="24">
        <f>P13*$S$5/1000/$AX$2</f>
        <v>282275.06235342671</v>
      </c>
      <c r="U13" s="5">
        <f>(R13/$AU$2*($S$5/1000)*2*$AU$2)/((P13^2)*$AT$2)</f>
        <v>8.8885632062621803E-2</v>
      </c>
      <c r="V13" s="5">
        <f>((3.7^2)/(10^(1/(U13^0.5))))^0.5*$S$5</f>
        <v>17.604050985161773</v>
      </c>
      <c r="W13" s="5">
        <f>U13^0.5</f>
        <v>0.29813693508624822</v>
      </c>
      <c r="X13" s="5">
        <f>1/W13</f>
        <v>3.3541634139047862</v>
      </c>
      <c r="Y13" s="5">
        <f>10^X13</f>
        <v>2260.2860980758196</v>
      </c>
      <c r="Z13" s="5">
        <f>1/Y13</f>
        <v>4.4242186900644989E-4</v>
      </c>
      <c r="AA13" s="5">
        <f>Z13^0.5</f>
        <v>2.1033826779890765E-2</v>
      </c>
      <c r="AB13" s="5">
        <f>IF(AA13-(2.51/(T13*W13))&gt;0, AA13-(2.51/(T13*W13)), AA13)</f>
        <v>2.1004001438258708E-2</v>
      </c>
      <c r="AC13" s="5">
        <f>AB13*3.7*$S$5</f>
        <v>17.579088963736243</v>
      </c>
      <c r="AD13" s="5">
        <f>(AE13/3600)/(PI()*($S$5/1000/2)^2)</f>
        <v>0</v>
      </c>
      <c r="AE13" s="5"/>
      <c r="AF13" s="5"/>
      <c r="AG13" s="5" t="e">
        <f>AF13/AD13</f>
        <v>#DIV/0!</v>
      </c>
      <c r="AH13" s="1">
        <f>AD13*$S$5/1000/$AX$2</f>
        <v>0</v>
      </c>
      <c r="AI13" s="21" t="e">
        <f>(AF13/$AU$2*($S$5/1000)*2*$AU$2)/((AD13^2)*$AT$2)</f>
        <v>#DIV/0!</v>
      </c>
      <c r="AJ13" s="21" t="e">
        <f>((3.7^2)/(10^(1/(AI13^0.5))))^0.5*$S$5</f>
        <v>#DIV/0!</v>
      </c>
      <c r="AK13" s="1" t="e">
        <f t="shared" ref="AK13:AK50" si="6">AI13^0.5</f>
        <v>#DIV/0!</v>
      </c>
      <c r="AL13" s="1" t="e">
        <f t="shared" ref="AL13:AL50" si="7">1/AK13</f>
        <v>#DIV/0!</v>
      </c>
      <c r="AM13" s="1" t="e">
        <f t="shared" ref="AM13:AM50" si="8">10^AL13</f>
        <v>#DIV/0!</v>
      </c>
      <c r="AN13" s="1" t="e">
        <f t="shared" ref="AN13:AN50" si="9">1/AM13</f>
        <v>#DIV/0!</v>
      </c>
      <c r="AO13" s="1" t="e">
        <f t="shared" ref="AO13:AO50" si="10">AN13^0.5</f>
        <v>#DIV/0!</v>
      </c>
      <c r="AP13" s="1" t="e">
        <f>IF(AO13-(2.51/(AH13*AK13))&gt;0, AO13-(2.51/(AH13*AK13)), AO13)</f>
        <v>#DIV/0!</v>
      </c>
      <c r="AQ13" s="28" t="e">
        <f>AP13*3.7*S$5</f>
        <v>#DIV/0!</v>
      </c>
      <c r="AS13" t="s">
        <v>34</v>
      </c>
      <c r="AT13">
        <f>AV2*1000</f>
        <v>226.20000000000002</v>
      </c>
      <c r="AU13" t="s">
        <v>33</v>
      </c>
      <c r="AV13" s="11">
        <v>50</v>
      </c>
      <c r="AW13">
        <v>30</v>
      </c>
      <c r="AX13" s="7">
        <f t="shared" si="3"/>
        <v>411674.30132640654</v>
      </c>
      <c r="AY13" s="8">
        <f t="shared" si="4"/>
        <v>0.93129225114956371</v>
      </c>
      <c r="AZ13" s="9">
        <f t="shared" si="5"/>
        <v>14.634937295806466</v>
      </c>
      <c r="BA13"/>
      <c r="BB13"/>
    </row>
    <row r="14" spans="1:57" ht="15" x14ac:dyDescent="0.25">
      <c r="A14" s="21">
        <f>(B14/3600)/(PI()*(S$5/1000/2)^2)</f>
        <v>1.7236345948836405</v>
      </c>
      <c r="B14" s="5">
        <v>249.35770115259521</v>
      </c>
      <c r="C14" s="5">
        <v>0.26937128499704793</v>
      </c>
      <c r="D14" s="5">
        <f>C14/A14</f>
        <v>0.15628096917794385</v>
      </c>
      <c r="E14" s="24">
        <f>A14*S$5/1000/AX$2</f>
        <v>388719.98540646001</v>
      </c>
      <c r="F14" s="25">
        <f>(C14/$AU$2*($S$5/1000)*2*$AU$2)/((A14^2)*$AT$2)</f>
        <v>3.7289864455857601E-2</v>
      </c>
      <c r="G14" s="30">
        <f>((3.7^2)/(10^(1/(F14^0.5))))^0.5*$S$5</f>
        <v>2.1549671086150815</v>
      </c>
      <c r="H14" s="30"/>
      <c r="I14" s="25">
        <f>F14^0.5</f>
        <v>0.19310583744635376</v>
      </c>
      <c r="J14" s="25">
        <f>1/I14</f>
        <v>5.1785073575406928</v>
      </c>
      <c r="K14" s="25">
        <f>10^J14</f>
        <v>150836.81641374168</v>
      </c>
      <c r="L14" s="25">
        <f>1/K14</f>
        <v>6.6296811599167185E-6</v>
      </c>
      <c r="M14" s="25">
        <f>L14^0.5</f>
        <v>2.5748167235585366E-3</v>
      </c>
      <c r="N14" s="25">
        <f>M14-(2.51/(E14*I14))</f>
        <v>2.5413786345602671E-3</v>
      </c>
      <c r="O14" s="25">
        <f>N14*3.7*$S$5</f>
        <v>2.12698143440887</v>
      </c>
      <c r="P14" s="25">
        <f>(Q14/3600)/(PI()*($S$5/1000/2)^2)</f>
        <v>1.7164370998879286</v>
      </c>
      <c r="Q14" s="59">
        <v>248.31644170496318</v>
      </c>
      <c r="R14" s="59">
        <v>0.60857956980814543</v>
      </c>
      <c r="S14" s="5">
        <f>R14/P14</f>
        <v>0.3545597854112344</v>
      </c>
      <c r="T14" s="24">
        <f>P14*$S$5/1000/$AX$2</f>
        <v>387096.78164970031</v>
      </c>
      <c r="U14" s="5">
        <f>(R14/$AU$2*($S$5/1000)*2*$AU$2)/((P14^2)*$AT$2)</f>
        <v>8.4955498769417395E-2</v>
      </c>
      <c r="V14" s="5">
        <f>((3.7^2)/(10^(1/(U14^0.5))))^0.5*$S$5</f>
        <v>16.116078038496909</v>
      </c>
      <c r="W14" s="5">
        <f>U14^0.5</f>
        <v>0.29147126576974514</v>
      </c>
      <c r="X14" s="5">
        <f>1/W14</f>
        <v>3.430869925922559</v>
      </c>
      <c r="Y14" s="5">
        <f>10^X14</f>
        <v>2696.9315625815361</v>
      </c>
      <c r="Z14" s="5">
        <f>1/Y14</f>
        <v>3.7079175974446594E-4</v>
      </c>
      <c r="AA14" s="5">
        <f>Z14^0.5</f>
        <v>1.9255953877813117E-2</v>
      </c>
      <c r="AB14" s="5">
        <f>IF(AA14-(2.51/(T14*W14))&gt;0, AA14-(2.51/(T14*W14)), AA14)</f>
        <v>1.9233707545830283E-2</v>
      </c>
      <c r="AC14" s="5">
        <f>AB14*3.7*$S$5</f>
        <v>16.097459193407197</v>
      </c>
      <c r="AD14" s="5">
        <f>(AE14/3600)/(PI()*($S$5/1000/2)^2)</f>
        <v>0</v>
      </c>
      <c r="AE14" s="5"/>
      <c r="AF14" s="5"/>
      <c r="AG14" s="5" t="e">
        <f>AF14/AD14</f>
        <v>#DIV/0!</v>
      </c>
      <c r="AH14" s="1">
        <f>AD14*$S$5/1000/$AX$2</f>
        <v>0</v>
      </c>
      <c r="AI14" s="21" t="e">
        <f>(AF14/$AU$2*($S$5/1000)*2*$AU$2)/((AD14^2)*$AT$2)</f>
        <v>#DIV/0!</v>
      </c>
      <c r="AJ14" s="21" t="e">
        <f>((3.7^2)/(10^(1/(AI14^0.5))))^0.5*$S$5</f>
        <v>#DIV/0!</v>
      </c>
      <c r="AK14" s="1" t="e">
        <f t="shared" si="6"/>
        <v>#DIV/0!</v>
      </c>
      <c r="AL14" s="1" t="e">
        <f t="shared" si="7"/>
        <v>#DIV/0!</v>
      </c>
      <c r="AM14" s="1" t="e">
        <f t="shared" si="8"/>
        <v>#DIV/0!</v>
      </c>
      <c r="AN14" s="1" t="e">
        <f t="shared" si="9"/>
        <v>#DIV/0!</v>
      </c>
      <c r="AO14" s="1" t="e">
        <f t="shared" si="10"/>
        <v>#DIV/0!</v>
      </c>
      <c r="AP14" s="1" t="e">
        <f>AO14-(2.51/(AH14*AK14))</f>
        <v>#DIV/0!</v>
      </c>
      <c r="AQ14" s="28" t="e">
        <f>AP14*3.7*S$5</f>
        <v>#DIV/0!</v>
      </c>
      <c r="AS14" t="s">
        <v>35</v>
      </c>
      <c r="AT14">
        <f>2*PI()*AT13/2</f>
        <v>710.62825824201127</v>
      </c>
      <c r="AU14" t="s">
        <v>33</v>
      </c>
      <c r="AV14" s="11">
        <v>50</v>
      </c>
      <c r="AW14">
        <v>20</v>
      </c>
      <c r="AX14" s="7">
        <f t="shared" si="3"/>
        <v>274449.53421760432</v>
      </c>
      <c r="AY14" s="8">
        <f t="shared" si="4"/>
        <v>0.6208615007663757</v>
      </c>
      <c r="AZ14" s="9">
        <f t="shared" si="5"/>
        <v>14.634937295806466</v>
      </c>
      <c r="BA14"/>
      <c r="BB14"/>
    </row>
    <row r="15" spans="1:57" ht="15" x14ac:dyDescent="0.25">
      <c r="A15" s="21">
        <f>(B15/3600)/(PI()*(S$5/1000/2)^2)</f>
        <v>2.0820465833562762</v>
      </c>
      <c r="B15" s="5">
        <v>301.20905629269106</v>
      </c>
      <c r="C15" s="5">
        <v>0.37846516337751268</v>
      </c>
      <c r="D15" s="5">
        <f>C15/A15</f>
        <v>0.18177555027007308</v>
      </c>
      <c r="E15" s="24">
        <f>A15*S$5/1000/AX$2</f>
        <v>469550.28629630076</v>
      </c>
      <c r="F15" s="25">
        <f>(C15/$AU$2*($S$5/1000)*2*$AU$2)/((A15^2)*$AT$2)</f>
        <v>3.5906654014705587E-2</v>
      </c>
      <c r="G15" s="30">
        <f>((3.7^2)/(10^(1/(F15^0.5))))^0.5*$S$5</f>
        <v>1.9232678814073494</v>
      </c>
      <c r="H15" s="30"/>
      <c r="I15" s="25">
        <f>F15^0.5</f>
        <v>0.1894905116746102</v>
      </c>
      <c r="J15" s="25">
        <f>1/I15</f>
        <v>5.2773090914292453</v>
      </c>
      <c r="K15" s="25">
        <f>10^J15</f>
        <v>189369.08966082687</v>
      </c>
      <c r="L15" s="25">
        <f>1/K15</f>
        <v>5.2806928617076269E-6</v>
      </c>
      <c r="M15" s="25">
        <f>L15^0.5</f>
        <v>2.2979758183470137E-3</v>
      </c>
      <c r="N15" s="25">
        <f>M15-(2.51/(E15*I15))</f>
        <v>2.2697657496790358E-3</v>
      </c>
      <c r="O15" s="25">
        <f>N15*3.7*$S$5</f>
        <v>1.8996577465363722</v>
      </c>
      <c r="P15" s="25">
        <f>(Q15/3600)/(PI()*($S$5/1000/2)^2)</f>
        <v>2.0751540451164177</v>
      </c>
      <c r="Q15" s="59">
        <v>300.21191484768923</v>
      </c>
      <c r="R15" s="59">
        <v>0.8972543048533087</v>
      </c>
      <c r="S15" s="5">
        <f>R15/P15</f>
        <v>0.4323796139206485</v>
      </c>
      <c r="T15" s="24">
        <f>P15*$S$5/1000/$AX$2</f>
        <v>467995.85743303457</v>
      </c>
      <c r="U15" s="5">
        <f>(R15/$AU$2*($S$5/1000)*2*$AU$2)/((P15^2)*$AT$2)</f>
        <v>8.5692887934157108E-2</v>
      </c>
      <c r="V15" s="5">
        <f>((3.7^2)/(10^(1/(U15^0.5))))^0.5*$S$5</f>
        <v>16.392907401384051</v>
      </c>
      <c r="W15" s="5">
        <f>U15^0.5</f>
        <v>0.29273347593699822</v>
      </c>
      <c r="X15" s="5">
        <f>1/W15</f>
        <v>3.4160766779376437</v>
      </c>
      <c r="Y15" s="5">
        <f>10^X15</f>
        <v>2606.6137265148291</v>
      </c>
      <c r="Z15" s="5">
        <f>1/Y15</f>
        <v>3.8363950508963566E-4</v>
      </c>
      <c r="AA15" s="5">
        <f>Z15^0.5</f>
        <v>1.9586717568026442E-2</v>
      </c>
      <c r="AB15" s="5">
        <f>IF(AA15-(2.51/(T15*W15))&gt;0, AA15-(2.51/(T15*W15)), AA15)</f>
        <v>1.9568396139908139E-2</v>
      </c>
      <c r="AC15" s="5">
        <f>AB15*3.7*$S$5</f>
        <v>16.377573465334716</v>
      </c>
      <c r="AD15" s="5">
        <f>(AE15/3600)/(PI()*($S$5/1000/2)^2)</f>
        <v>0</v>
      </c>
      <c r="AE15" s="5"/>
      <c r="AF15" s="5"/>
      <c r="AG15" s="5" t="e">
        <f>AF15/AD15</f>
        <v>#DIV/0!</v>
      </c>
      <c r="AH15" s="1">
        <f>AD15*$S$5/1000/$AX$2</f>
        <v>0</v>
      </c>
      <c r="AI15" s="21" t="e">
        <f>(AF15/$AU$2*($S$5/1000)*2*$AU$2)/((AD15^2)*$AT$2)</f>
        <v>#DIV/0!</v>
      </c>
      <c r="AJ15" s="21" t="e">
        <f>((3.7^2)/(10^(1/(AI15^0.5))))^0.5*$S$5</f>
        <v>#DIV/0!</v>
      </c>
      <c r="AK15" s="1" t="e">
        <f t="shared" si="6"/>
        <v>#DIV/0!</v>
      </c>
      <c r="AL15" s="1" t="e">
        <f t="shared" si="7"/>
        <v>#DIV/0!</v>
      </c>
      <c r="AM15" s="1" t="e">
        <f t="shared" si="8"/>
        <v>#DIV/0!</v>
      </c>
      <c r="AN15" s="1" t="e">
        <f t="shared" si="9"/>
        <v>#DIV/0!</v>
      </c>
      <c r="AO15" s="1" t="e">
        <f t="shared" si="10"/>
        <v>#DIV/0!</v>
      </c>
      <c r="AP15" s="1" t="e">
        <f>AO15-(2.51/(AH15*AK15))</f>
        <v>#DIV/0!</v>
      </c>
      <c r="AQ15" s="28" t="e">
        <f>AP15*3.7*S$5</f>
        <v>#DIV/0!</v>
      </c>
      <c r="AS15" t="s">
        <v>36</v>
      </c>
      <c r="AT15">
        <f>AT14/AT10</f>
        <v>27.331856086231202</v>
      </c>
      <c r="AU15" t="s">
        <v>33</v>
      </c>
      <c r="AV15" s="11">
        <v>75</v>
      </c>
      <c r="AW15">
        <v>40</v>
      </c>
      <c r="AX15" s="7">
        <f t="shared" si="3"/>
        <v>823348.60265281296</v>
      </c>
      <c r="AY15" s="8">
        <f t="shared" si="4"/>
        <v>1.862584502299127</v>
      </c>
      <c r="AZ15" s="9">
        <f t="shared" si="5"/>
        <v>21.952405943709703</v>
      </c>
      <c r="BA15"/>
      <c r="BB15"/>
    </row>
    <row r="16" spans="1:57" ht="15" x14ac:dyDescent="0.25">
      <c r="A16" s="21">
        <f>(B16/3600)/(PI()*(S$5/1000/2)^2)</f>
        <v>3.0952497046154579</v>
      </c>
      <c r="B16" s="5">
        <v>447.78884870796207</v>
      </c>
      <c r="C16" s="5">
        <v>0.85730087633500884</v>
      </c>
      <c r="D16" s="5">
        <f>C16/A16</f>
        <v>0.27697309042842366</v>
      </c>
      <c r="E16" s="24">
        <f>A16*S$5/1000/AX$2</f>
        <v>698051.32919642737</v>
      </c>
      <c r="F16" s="25">
        <f>(C16/$AU$2*($S$5/1000)*2*$AU$2)/((A16^2)*$AT$2)</f>
        <v>3.6802031872192817E-2</v>
      </c>
      <c r="G16" s="30">
        <f>((3.7^2)/(10^(1/(F16^0.5))))^0.5*$S$5</f>
        <v>2.0717440563959015</v>
      </c>
      <c r="H16" s="30"/>
      <c r="I16" s="25">
        <f>F16^0.5</f>
        <v>0.19183855679240505</v>
      </c>
      <c r="J16" s="25">
        <f>1/I16</f>
        <v>5.2127164461632889</v>
      </c>
      <c r="K16" s="25">
        <f>10^J16</f>
        <v>163198.60651105517</v>
      </c>
      <c r="L16" s="25">
        <f>1/K16</f>
        <v>6.1275033002947818E-6</v>
      </c>
      <c r="M16" s="25">
        <f>L16^0.5</f>
        <v>2.4753794255214252E-3</v>
      </c>
      <c r="N16" s="25">
        <f>M16-(2.51/(E16*I16))</f>
        <v>2.4566359352756126E-3</v>
      </c>
      <c r="O16" s="25">
        <f>N16*3.7*$S$5</f>
        <v>2.0560568796695713</v>
      </c>
      <c r="P16" s="25">
        <f>(Q16/3600)/(PI()*($S$5/1000/2)^2)</f>
        <v>3.102142242855316</v>
      </c>
      <c r="Q16" s="59">
        <v>448.7859901529639</v>
      </c>
      <c r="R16" s="59">
        <v>1.9746928733598004</v>
      </c>
      <c r="S16" s="5">
        <f>R16/P16</f>
        <v>0.63655781030280112</v>
      </c>
      <c r="T16" s="24">
        <f>P16*$S$5/1000/$AX$2</f>
        <v>699605.75805969338</v>
      </c>
      <c r="U16" s="5">
        <f>(R16/$AU$2*($S$5/1000)*2*$AU$2)/((P16^2)*$AT$2)</f>
        <v>8.4392927923582217E-2</v>
      </c>
      <c r="V16" s="5">
        <f>((3.7^2)/(10^(1/(U16^0.5))))^0.5*$S$5</f>
        <v>15.905643227562066</v>
      </c>
      <c r="W16" s="5">
        <f>U16^0.5</f>
        <v>0.2905046091262275</v>
      </c>
      <c r="X16" s="5">
        <f>1/W16</f>
        <v>3.4422861757951964</v>
      </c>
      <c r="Y16" s="5">
        <f>10^X16</f>
        <v>2768.7655061842979</v>
      </c>
      <c r="Z16" s="5">
        <f>1/Y16</f>
        <v>3.6117179218189699E-4</v>
      </c>
      <c r="AA16" s="5">
        <f>Z16^0.5</f>
        <v>1.9004520309176366E-2</v>
      </c>
      <c r="AB16" s="5">
        <f>IF(AA16-(2.51/(T16*W16))&gt;0, AA16-(2.51/(T16*W16)), AA16)</f>
        <v>1.8992170298900279E-2</v>
      </c>
      <c r="AC16" s="5">
        <f>AB16*3.7*$S$5</f>
        <v>15.8953070099616</v>
      </c>
      <c r="AD16" s="5">
        <f>(AE16/3600)/(PI()*($S$5/1000/2)^2)</f>
        <v>0</v>
      </c>
      <c r="AE16" s="5"/>
      <c r="AF16" s="5"/>
      <c r="AG16" s="5" t="e">
        <f>AF16/AD16</f>
        <v>#DIV/0!</v>
      </c>
      <c r="AH16" s="1">
        <f>AD16*$S$5/1000/$AX$2</f>
        <v>0</v>
      </c>
      <c r="AI16" s="21" t="e">
        <f>(AF16/$AU$2*($S$5/1000)*2*$AU$2)/((AD16^2)*$AT$2)</f>
        <v>#DIV/0!</v>
      </c>
      <c r="AJ16" s="21" t="e">
        <f>((3.7^2)/(10^(1/(AI16^0.5))))^0.5*$S$5</f>
        <v>#DIV/0!</v>
      </c>
      <c r="AK16" s="1" t="e">
        <f t="shared" si="6"/>
        <v>#DIV/0!</v>
      </c>
      <c r="AL16" s="1" t="e">
        <f t="shared" si="7"/>
        <v>#DIV/0!</v>
      </c>
      <c r="AM16" s="1" t="e">
        <f t="shared" si="8"/>
        <v>#DIV/0!</v>
      </c>
      <c r="AN16" s="1" t="e">
        <f t="shared" si="9"/>
        <v>#DIV/0!</v>
      </c>
      <c r="AO16" s="1" t="e">
        <f t="shared" si="10"/>
        <v>#DIV/0!</v>
      </c>
      <c r="AP16" s="1" t="e">
        <f>AO16-(2.51/(AH16*AK16))</f>
        <v>#DIV/0!</v>
      </c>
      <c r="AQ16" s="28" t="e">
        <f>AP16*3.7*S$5</f>
        <v>#DIV/0!</v>
      </c>
      <c r="AS16" t="s">
        <v>37</v>
      </c>
      <c r="AT16">
        <f>PI()*(AT12/2)^2</f>
        <v>50.26548245743669</v>
      </c>
      <c r="AU16" t="s">
        <v>38</v>
      </c>
      <c r="AV16" s="11">
        <v>75</v>
      </c>
      <c r="AW16" s="11">
        <v>30</v>
      </c>
      <c r="AX16" s="7">
        <f t="shared" si="3"/>
        <v>617511.45198960975</v>
      </c>
      <c r="AY16" s="8">
        <f t="shared" si="4"/>
        <v>1.3969383767243453</v>
      </c>
      <c r="AZ16" s="9">
        <f t="shared" si="5"/>
        <v>21.952405943709703</v>
      </c>
      <c r="BA16"/>
      <c r="BB16"/>
    </row>
    <row r="17" spans="1:52" ht="15" x14ac:dyDescent="0.25">
      <c r="A17" s="21">
        <f>(B17/3600)/(PI()*(S$5/1000/2)^2)</f>
        <v>4.7908141116206195</v>
      </c>
      <c r="B17" s="5">
        <v>693.08564417841558</v>
      </c>
      <c r="C17" s="5">
        <v>1.945459280534235</v>
      </c>
      <c r="D17" s="5">
        <f>C17/A17</f>
        <v>0.4060811451263201</v>
      </c>
      <c r="E17" s="24">
        <f>A17*S$5/1000/AX$2</f>
        <v>1080440.8295599045</v>
      </c>
      <c r="F17" s="25">
        <f>(C17/$AU$2*($S$5/1000)*2*$AU$2)/((A17^2)*$AT$2)</f>
        <v>3.4860484284922132E-2</v>
      </c>
      <c r="G17" s="30">
        <f>((3.7^2)/(10^(1/(F17^0.5))))^0.5*$S$5</f>
        <v>1.7568682435277423</v>
      </c>
      <c r="H17" s="30"/>
      <c r="I17" s="25">
        <f>F17^0.5</f>
        <v>0.18670962558187013</v>
      </c>
      <c r="J17" s="25">
        <f>1/I17</f>
        <v>5.3559102637775418</v>
      </c>
      <c r="K17" s="25">
        <f>10^J17</f>
        <v>226939.58888562562</v>
      </c>
      <c r="L17" s="25">
        <f>1/K17</f>
        <v>4.4064590268733853E-6</v>
      </c>
      <c r="M17" s="25">
        <f>L17^0.5</f>
        <v>2.099156741854544E-3</v>
      </c>
      <c r="N17" s="25">
        <f>M17-(2.51/(E17*I17))</f>
        <v>2.086714288372332E-3</v>
      </c>
      <c r="O17" s="25">
        <f>N17*3.7*$S$5</f>
        <v>1.7464546565103396</v>
      </c>
      <c r="P17" s="25">
        <f>(Q17/3600)/(PI()*($S$5/1000/2)^2)</f>
        <v>4.7701364969010438</v>
      </c>
      <c r="Q17" s="59">
        <v>690.09421984341009</v>
      </c>
      <c r="R17" s="59">
        <v>4.5992652734681156</v>
      </c>
      <c r="S17" s="5">
        <f>R17/P17</f>
        <v>0.96417896562416272</v>
      </c>
      <c r="T17" s="24">
        <f>P17*$S$5/1000/$AX$2</f>
        <v>1075777.5429701058</v>
      </c>
      <c r="U17" s="5">
        <f>(R17/$AU$2*($S$5/1000)*2*$AU$2)/((P17^2)*$AT$2)</f>
        <v>8.3129804153164621E-2</v>
      </c>
      <c r="V17" s="5">
        <f>((3.7^2)/(10^(1/(U17^0.5))))^0.5*$S$5</f>
        <v>15.43563489442136</v>
      </c>
      <c r="W17" s="5">
        <f>U17^0.5</f>
        <v>0.28832239620460398</v>
      </c>
      <c r="X17" s="5">
        <f>1/W17</f>
        <v>3.468339654372059</v>
      </c>
      <c r="Y17" s="5">
        <f>10^X17</f>
        <v>2939.9480367368419</v>
      </c>
      <c r="Z17" s="5">
        <f>1/Y17</f>
        <v>3.4014206628969447E-4</v>
      </c>
      <c r="AA17" s="5">
        <f>Z17^0.5</f>
        <v>1.8442940825413243E-2</v>
      </c>
      <c r="AB17" s="5">
        <f>IF(AA17-(2.51/(T17*W17))&gt;0, AA17-(2.51/(T17*W17)), AA17)</f>
        <v>1.8434848508754133E-2</v>
      </c>
      <c r="AC17" s="5">
        <f>AB17*3.7*$S$5</f>
        <v>15.428862110916683</v>
      </c>
      <c r="AD17" s="5">
        <f>(AE17/3600)/(PI()*($S$5/1000/2)^2)</f>
        <v>0</v>
      </c>
      <c r="AE17" s="5"/>
      <c r="AF17" s="5"/>
      <c r="AG17" s="5" t="e">
        <f>AF17/AD17</f>
        <v>#DIV/0!</v>
      </c>
      <c r="AH17" s="1">
        <f>AD17*$S$5/1000/$AX$2</f>
        <v>0</v>
      </c>
      <c r="AI17" s="21" t="e">
        <f>(AF17/$AU$2*($S$5/1000)*2*$AU$2)/((AD17^2)*$AT$2)</f>
        <v>#DIV/0!</v>
      </c>
      <c r="AJ17" s="21" t="e">
        <f>((3.7^2)/(10^(1/(AI17^0.5))))^0.5*$S$5</f>
        <v>#DIV/0!</v>
      </c>
      <c r="AK17" s="1" t="e">
        <f t="shared" si="6"/>
        <v>#DIV/0!</v>
      </c>
      <c r="AL17" s="1" t="e">
        <f t="shared" si="7"/>
        <v>#DIV/0!</v>
      </c>
      <c r="AM17" s="1" t="e">
        <f t="shared" si="8"/>
        <v>#DIV/0!</v>
      </c>
      <c r="AN17" s="1" t="e">
        <f t="shared" si="9"/>
        <v>#DIV/0!</v>
      </c>
      <c r="AO17" s="1" t="e">
        <f t="shared" si="10"/>
        <v>#DIV/0!</v>
      </c>
      <c r="AP17" s="1" t="e">
        <f>AO17-(2.51/(AH17*AK17))</f>
        <v>#DIV/0!</v>
      </c>
      <c r="AQ17" s="28" t="e">
        <f>AP17*3.7*S$5</f>
        <v>#DIV/0!</v>
      </c>
      <c r="AT17" s="1">
        <f>AT16/1000000</f>
        <v>5.0265482457436693E-5</v>
      </c>
      <c r="AU17" s="1" t="s">
        <v>39</v>
      </c>
      <c r="AV17" s="11">
        <v>75</v>
      </c>
      <c r="AW17" s="1">
        <v>20</v>
      </c>
      <c r="AX17" s="7">
        <f t="shared" si="3"/>
        <v>411674.30132640648</v>
      </c>
      <c r="AY17" s="8">
        <f t="shared" si="4"/>
        <v>0.93129225114956349</v>
      </c>
      <c r="AZ17" s="9">
        <f t="shared" si="5"/>
        <v>21.952405943709703</v>
      </c>
    </row>
    <row r="18" spans="1:52" ht="15" x14ac:dyDescent="0.25">
      <c r="A18" s="21"/>
      <c r="B18" s="5"/>
      <c r="C18" s="5"/>
      <c r="D18" s="5"/>
      <c r="E18" s="24"/>
      <c r="F18" s="25"/>
      <c r="G18" s="30"/>
      <c r="H18" s="30"/>
      <c r="I18" s="25"/>
      <c r="J18" s="25"/>
      <c r="K18" s="25"/>
      <c r="L18" s="25"/>
      <c r="M18" s="25"/>
      <c r="N18" s="25"/>
      <c r="O18" s="25"/>
      <c r="P18" s="25"/>
      <c r="Q18" s="59"/>
      <c r="R18" s="59"/>
      <c r="S18" s="5"/>
      <c r="T18" s="24"/>
      <c r="U18" s="5"/>
      <c r="V18" s="5"/>
      <c r="W18" s="5"/>
      <c r="X18" s="5"/>
      <c r="Y18" s="5"/>
      <c r="Z18" s="5"/>
      <c r="AA18" s="5"/>
      <c r="AB18" s="5"/>
      <c r="AC18" s="5"/>
      <c r="AD18" s="5"/>
      <c r="AE18" s="5"/>
      <c r="AF18" s="5"/>
      <c r="AG18" s="5"/>
      <c r="AI18" s="21"/>
      <c r="AJ18" s="21"/>
      <c r="AQ18" s="28"/>
      <c r="AV18" s="11"/>
      <c r="AX18" s="7"/>
      <c r="AY18" s="8"/>
      <c r="AZ18" s="9"/>
    </row>
    <row r="19" spans="1:52" ht="15" x14ac:dyDescent="0.25">
      <c r="A19" s="21"/>
      <c r="B19" s="5"/>
      <c r="C19" s="5"/>
      <c r="D19" s="5"/>
      <c r="E19" s="24"/>
      <c r="F19" s="25"/>
      <c r="G19" s="30"/>
      <c r="H19" s="30"/>
      <c r="I19" s="25"/>
      <c r="J19" s="25"/>
      <c r="K19" s="25"/>
      <c r="L19" s="25"/>
      <c r="M19" s="25"/>
      <c r="N19" s="25"/>
      <c r="O19" s="25"/>
      <c r="P19" s="25"/>
      <c r="Q19" s="59"/>
      <c r="R19" s="59"/>
      <c r="S19" s="5"/>
      <c r="T19" s="24"/>
      <c r="U19" s="5"/>
      <c r="V19" s="5"/>
      <c r="W19" s="5"/>
      <c r="X19" s="5"/>
      <c r="Y19" s="5"/>
      <c r="Z19" s="5"/>
      <c r="AA19" s="5"/>
      <c r="AB19" s="5"/>
      <c r="AC19" s="5"/>
      <c r="AD19" s="5"/>
      <c r="AE19" s="5"/>
      <c r="AF19" s="5"/>
      <c r="AG19" s="5"/>
      <c r="AI19" s="21"/>
      <c r="AJ19" s="21"/>
      <c r="AQ19" s="28"/>
      <c r="AV19" s="11"/>
      <c r="AX19" s="7"/>
      <c r="AY19" s="8"/>
      <c r="AZ19" s="9"/>
    </row>
    <row r="20" spans="1:52" ht="15" x14ac:dyDescent="0.25">
      <c r="A20" s="21"/>
      <c r="B20" s="5"/>
      <c r="C20" s="5"/>
      <c r="D20" s="5"/>
      <c r="E20" s="24"/>
      <c r="F20" s="25"/>
      <c r="G20" s="30"/>
      <c r="H20" s="30"/>
      <c r="I20" s="25"/>
      <c r="J20" s="25"/>
      <c r="K20" s="25"/>
      <c r="L20" s="25"/>
      <c r="M20" s="25"/>
      <c r="N20" s="25"/>
      <c r="O20" s="25"/>
      <c r="P20" s="25"/>
      <c r="Q20" s="59"/>
      <c r="R20" s="59"/>
      <c r="S20" s="5"/>
      <c r="T20" s="24"/>
      <c r="U20" s="5"/>
      <c r="V20" s="5"/>
      <c r="W20" s="5"/>
      <c r="X20" s="5"/>
      <c r="Y20" s="5"/>
      <c r="Z20" s="5"/>
      <c r="AA20" s="5"/>
      <c r="AB20" s="5"/>
      <c r="AC20" s="5"/>
      <c r="AD20" s="5"/>
      <c r="AE20" s="5"/>
      <c r="AF20" s="5"/>
      <c r="AG20" s="5"/>
      <c r="AI20" s="21"/>
      <c r="AJ20" s="21"/>
      <c r="AQ20" s="28"/>
      <c r="AV20" s="11"/>
      <c r="AX20" s="7"/>
      <c r="AY20" s="8"/>
      <c r="AZ20" s="9"/>
    </row>
    <row r="21" spans="1:52" ht="15" x14ac:dyDescent="0.25">
      <c r="A21" s="21" t="s">
        <v>68</v>
      </c>
      <c r="B21" s="5"/>
      <c r="C21" s="5"/>
      <c r="D21" s="5"/>
      <c r="E21" s="24"/>
      <c r="F21" s="25"/>
      <c r="G21" s="34">
        <f>AVERAGE(G13:G17)</f>
        <v>2.0439592098201453</v>
      </c>
      <c r="H21" s="25"/>
      <c r="I21" s="25"/>
      <c r="J21" s="25"/>
      <c r="K21" s="25"/>
      <c r="L21" s="25"/>
      <c r="M21" s="25"/>
      <c r="N21" s="25"/>
      <c r="O21" s="34">
        <f>AVERAGE(O13:O17)</f>
        <v>2.02089477785692</v>
      </c>
      <c r="P21" s="25"/>
      <c r="Q21" s="5"/>
      <c r="R21" s="5"/>
      <c r="S21" s="5"/>
      <c r="T21" s="5"/>
      <c r="U21" s="5"/>
      <c r="V21" s="35">
        <f>AVERAGE(V13:V17)</f>
        <v>16.290862909405231</v>
      </c>
      <c r="W21" s="5"/>
      <c r="X21" s="5"/>
      <c r="Y21" s="5"/>
      <c r="Z21" s="5"/>
      <c r="AA21" s="5"/>
      <c r="AB21" s="5"/>
      <c r="AC21" s="5">
        <f>AVERAGE(AC13:AC17)</f>
        <v>16.27565814867129</v>
      </c>
      <c r="AD21" s="5"/>
      <c r="AE21" s="5"/>
      <c r="AF21" s="5"/>
      <c r="AG21" s="5"/>
      <c r="AJ21" s="20" t="e">
        <f>AVERAGE(AJ13:AJ17)</f>
        <v>#DIV/0!</v>
      </c>
      <c r="AQ21" s="28" t="e">
        <f>AVERAGE(AQ13:AQ17)</f>
        <v>#DIV/0!</v>
      </c>
      <c r="AV21" s="11"/>
      <c r="AX21" s="7"/>
      <c r="AY21" s="8"/>
      <c r="AZ21" s="9"/>
    </row>
    <row r="22" spans="1:52" ht="15" x14ac:dyDescent="0.25">
      <c r="A22" s="21" t="s">
        <v>69</v>
      </c>
      <c r="B22" s="5"/>
      <c r="C22" s="5"/>
      <c r="D22" s="5"/>
      <c r="E22" s="24"/>
      <c r="F22" s="25"/>
      <c r="G22" s="34">
        <f>STDEV(G13:G21)</f>
        <v>0.19101714510799075</v>
      </c>
      <c r="H22" s="25"/>
      <c r="I22" s="25"/>
      <c r="J22" s="25"/>
      <c r="K22" s="25"/>
      <c r="L22" s="25"/>
      <c r="M22" s="25"/>
      <c r="N22" s="25"/>
      <c r="O22" s="34">
        <f>STDEV(O13:O21)</f>
        <v>0.1828881395267406</v>
      </c>
      <c r="P22" s="25"/>
      <c r="Q22" s="5"/>
      <c r="R22" s="5"/>
      <c r="S22" s="5"/>
      <c r="T22" s="5"/>
      <c r="U22" s="5"/>
      <c r="V22" s="35">
        <f>STDEV(V13:V21)</f>
        <v>0.72735615933920927</v>
      </c>
      <c r="W22" s="5"/>
      <c r="X22" s="5"/>
      <c r="Y22" s="5"/>
      <c r="Z22" s="5"/>
      <c r="AA22" s="5"/>
      <c r="AB22" s="5"/>
      <c r="AC22" s="5">
        <f>STDEV(AC13:AC21)</f>
        <v>0.72149899616886093</v>
      </c>
      <c r="AD22" s="5"/>
      <c r="AE22" s="5"/>
      <c r="AF22" s="5"/>
      <c r="AG22" s="5"/>
      <c r="AJ22" s="20" t="e">
        <f>STDEV(AJ13:AJ21)</f>
        <v>#DIV/0!</v>
      </c>
      <c r="AQ22" s="28" t="e">
        <f>STDEV(AQ13:AQ21)</f>
        <v>#DIV/0!</v>
      </c>
      <c r="AV22" s="11"/>
      <c r="AX22" s="7"/>
      <c r="AY22" s="8"/>
      <c r="AZ22" s="9"/>
    </row>
    <row r="23" spans="1:52" x14ac:dyDescent="0.2">
      <c r="B23" s="85">
        <v>0.5</v>
      </c>
      <c r="C23" s="86"/>
      <c r="D23" s="86"/>
      <c r="E23" s="86"/>
      <c r="F23" s="86"/>
      <c r="G23" s="86"/>
      <c r="H23" s="86"/>
      <c r="I23" s="86"/>
      <c r="J23" s="86"/>
      <c r="K23" s="86"/>
      <c r="L23" s="86"/>
      <c r="M23" s="86"/>
      <c r="N23" s="86"/>
      <c r="O23" s="86"/>
      <c r="P23" s="86"/>
      <c r="Q23" s="86"/>
      <c r="R23" s="86"/>
      <c r="S23" s="86"/>
      <c r="T23" s="86"/>
      <c r="U23" s="86"/>
      <c r="V23" s="86"/>
      <c r="W23" s="86"/>
      <c r="X23" s="86"/>
      <c r="Y23" s="86"/>
      <c r="Z23" s="86"/>
      <c r="AA23" s="86"/>
      <c r="AB23" s="86"/>
      <c r="AC23" s="86"/>
      <c r="AD23" s="86"/>
      <c r="AE23" s="86"/>
      <c r="AF23" s="86"/>
      <c r="AG23" s="86"/>
      <c r="AQ23" s="28"/>
      <c r="AS23" s="1" t="s">
        <v>40</v>
      </c>
      <c r="AT23" s="1">
        <f>AT17*AT9</f>
        <v>2.7444953421760433E-2</v>
      </c>
    </row>
    <row r="24" spans="1:52" ht="15.75" x14ac:dyDescent="0.25">
      <c r="B24" s="84" t="s">
        <v>41</v>
      </c>
      <c r="C24" s="84"/>
      <c r="D24" s="84"/>
      <c r="E24" s="23"/>
      <c r="F24" s="23"/>
      <c r="G24" s="23" t="s">
        <v>72</v>
      </c>
      <c r="H24" s="33"/>
      <c r="I24" s="23"/>
      <c r="J24" s="23"/>
      <c r="K24" s="23"/>
      <c r="L24" s="23"/>
      <c r="M24" s="23"/>
      <c r="N24" s="23"/>
      <c r="O24" s="23"/>
      <c r="P24" s="23"/>
      <c r="Q24" s="84" t="s">
        <v>42</v>
      </c>
      <c r="R24" s="84"/>
      <c r="S24" s="84"/>
      <c r="T24" s="23"/>
      <c r="U24" s="23"/>
      <c r="V24" s="23" t="s">
        <v>72</v>
      </c>
      <c r="W24" s="23"/>
      <c r="X24" s="23"/>
      <c r="Y24" s="23"/>
      <c r="Z24" s="23"/>
      <c r="AA24" s="23"/>
      <c r="AB24" s="23"/>
      <c r="AC24" s="23"/>
      <c r="AD24" s="23"/>
      <c r="AE24" s="84" t="s">
        <v>43</v>
      </c>
      <c r="AF24" s="84"/>
      <c r="AG24" s="84"/>
      <c r="AJ24" s="1" t="s">
        <v>72</v>
      </c>
      <c r="AQ24" s="28"/>
      <c r="AS24" s="1" t="s">
        <v>44</v>
      </c>
      <c r="AT24" s="1">
        <f>AT$23*0.04</f>
        <v>1.0977981368704174E-3</v>
      </c>
      <c r="AU24" s="1" t="s">
        <v>45</v>
      </c>
      <c r="AV24" s="12" t="s">
        <v>46</v>
      </c>
      <c r="AW24" s="12" t="s">
        <v>47</v>
      </c>
      <c r="AX24" s="12"/>
      <c r="AY24" s="12"/>
      <c r="AZ24" s="12"/>
    </row>
    <row r="25" spans="1:52" ht="15.75" x14ac:dyDescent="0.25">
      <c r="A25" s="20" t="s">
        <v>55</v>
      </c>
      <c r="B25" s="3" t="s">
        <v>8</v>
      </c>
      <c r="C25" s="4" t="s">
        <v>9</v>
      </c>
      <c r="D25" s="3" t="s">
        <v>88</v>
      </c>
      <c r="E25" s="3" t="s">
        <v>56</v>
      </c>
      <c r="F25" s="3" t="s">
        <v>57</v>
      </c>
      <c r="G25" s="3" t="s">
        <v>74</v>
      </c>
      <c r="H25" s="3"/>
      <c r="I25" s="3" t="s">
        <v>61</v>
      </c>
      <c r="J25" s="3" t="s">
        <v>62</v>
      </c>
      <c r="K25" s="3" t="s">
        <v>63</v>
      </c>
      <c r="L25" s="3" t="s">
        <v>65</v>
      </c>
      <c r="M25" s="3" t="s">
        <v>64</v>
      </c>
      <c r="N25" s="3" t="s">
        <v>66</v>
      </c>
      <c r="O25" s="3" t="s">
        <v>67</v>
      </c>
      <c r="P25" s="3" t="s">
        <v>55</v>
      </c>
      <c r="Q25" s="3" t="s">
        <v>8</v>
      </c>
      <c r="R25" s="4" t="s">
        <v>9</v>
      </c>
      <c r="S25" s="3" t="s">
        <v>88</v>
      </c>
      <c r="T25" s="3" t="s">
        <v>56</v>
      </c>
      <c r="U25" s="3" t="s">
        <v>57</v>
      </c>
      <c r="V25" s="3" t="s">
        <v>74</v>
      </c>
      <c r="W25" s="3" t="s">
        <v>61</v>
      </c>
      <c r="X25" s="3" t="s">
        <v>62</v>
      </c>
      <c r="Y25" s="3" t="s">
        <v>63</v>
      </c>
      <c r="Z25" s="3" t="s">
        <v>65</v>
      </c>
      <c r="AA25" s="3" t="s">
        <v>64</v>
      </c>
      <c r="AB25" s="3" t="s">
        <v>66</v>
      </c>
      <c r="AC25" s="3" t="s">
        <v>67</v>
      </c>
      <c r="AD25" s="3" t="s">
        <v>55</v>
      </c>
      <c r="AE25" s="3" t="s">
        <v>8</v>
      </c>
      <c r="AF25" s="4" t="s">
        <v>9</v>
      </c>
      <c r="AG25" s="3" t="s">
        <v>88</v>
      </c>
      <c r="AH25" s="27" t="s">
        <v>56</v>
      </c>
      <c r="AI25" s="27" t="s">
        <v>57</v>
      </c>
      <c r="AJ25" s="27" t="s">
        <v>74</v>
      </c>
      <c r="AK25" s="16" t="s">
        <v>61</v>
      </c>
      <c r="AL25" s="16" t="s">
        <v>62</v>
      </c>
      <c r="AM25" s="16" t="s">
        <v>63</v>
      </c>
      <c r="AN25" s="16" t="s">
        <v>65</v>
      </c>
      <c r="AO25" s="16" t="s">
        <v>64</v>
      </c>
      <c r="AP25" s="16" t="s">
        <v>66</v>
      </c>
      <c r="AQ25" s="17" t="s">
        <v>67</v>
      </c>
      <c r="AS25" s="1" t="s">
        <v>48</v>
      </c>
      <c r="AT25" s="1">
        <f>AT$23*0.03</f>
        <v>8.2334860265281297E-4</v>
      </c>
      <c r="AU25" s="1" t="s">
        <v>45</v>
      </c>
      <c r="AV25" s="12" t="s">
        <v>49</v>
      </c>
      <c r="AW25" s="12">
        <v>25</v>
      </c>
      <c r="AX25" s="12">
        <v>50</v>
      </c>
      <c r="AY25" s="12">
        <v>75</v>
      </c>
      <c r="AZ25" s="12">
        <v>100</v>
      </c>
    </row>
    <row r="26" spans="1:52" ht="15.75" x14ac:dyDescent="0.25">
      <c r="A26" s="21">
        <f t="shared" ref="A26:A35" si="11">(B26/3600)/(PI()*(S$5/1000/2)^2)</f>
        <v>0.61739921696188527</v>
      </c>
      <c r="B26" s="59">
        <v>89.318960000000004</v>
      </c>
      <c r="C26" s="59">
        <v>0.47976229712211366</v>
      </c>
      <c r="D26" s="5">
        <f>C26/A26</f>
        <v>0.77706981794201313</v>
      </c>
      <c r="E26" s="30">
        <f t="shared" ref="E26:E35" si="12">A26*S$5/1000/AX$2</f>
        <v>139237.9889100483</v>
      </c>
      <c r="F26" s="15">
        <f>(C26/$AU$2*($S$5/1000)*2*$AU$2)/((A26^2)*$AT$2)</f>
        <v>0.51763529095318384</v>
      </c>
      <c r="G26" s="30">
        <f>((3.7^2)/(10^(1/(F26^0.5))))^0.5*$S$5</f>
        <v>168.9417987285851</v>
      </c>
      <c r="H26" s="30"/>
      <c r="I26" s="15">
        <f t="shared" ref="I26:I35" si="13">F26^0.5</f>
        <v>0.71946875606462846</v>
      </c>
      <c r="J26" s="15">
        <f t="shared" ref="J26:J35" si="14">1/I26</f>
        <v>1.3899144216766683</v>
      </c>
      <c r="K26" s="15">
        <f t="shared" ref="K26:K35" si="15">10^J26</f>
        <v>24.542252595804634</v>
      </c>
      <c r="L26" s="15">
        <f t="shared" ref="L26:L35" si="16">1/K26</f>
        <v>4.0746056055626478E-2</v>
      </c>
      <c r="M26" s="15">
        <f t="shared" ref="M26:M35" si="17">L26^0.5</f>
        <v>0.20185652344085014</v>
      </c>
      <c r="N26" s="15">
        <f>IF(M26-(2.51/(E26*I26))&gt;0, M26-(2.51/(E26*I26)), M26)</f>
        <v>0.20183146788506601</v>
      </c>
      <c r="O26" s="15">
        <f>N26*3.7*S$5</f>
        <v>168.92082873172714</v>
      </c>
      <c r="P26" s="15">
        <f>(Q26/3600)/(PI()*($S$5/1000/2)^2)</f>
        <v>0.620109459658157</v>
      </c>
      <c r="Q26" s="59">
        <v>89.71105</v>
      </c>
      <c r="R26" s="59">
        <v>0.28524601631434354</v>
      </c>
      <c r="S26" s="5">
        <v>0.77706981794201313</v>
      </c>
      <c r="T26" s="5">
        <f t="shared" ref="T26:T35" si="18">P26*$S$5/1000/$AX$2</f>
        <v>139849.21213826034</v>
      </c>
      <c r="U26" s="5">
        <f>(R26/$AU$2*($S$5/1000)*2*$AU$2)/((P26^2)*$AT$2)</f>
        <v>0.30507933144544258</v>
      </c>
      <c r="V26" s="30">
        <f>((3.7^2)/(10^(1/(U26^0.5))))^0.5*$S$5</f>
        <v>104.100924019622</v>
      </c>
      <c r="W26" s="5">
        <f t="shared" ref="W26:W35" si="19">U26^0.5</f>
        <v>0.55233986950558134</v>
      </c>
      <c r="X26" s="5">
        <f t="shared" ref="X26:X35" si="20">1/W26</f>
        <v>1.8104794804965552</v>
      </c>
      <c r="Y26" s="5">
        <f t="shared" ref="Y26:Y35" si="21">10^X26</f>
        <v>64.636745377146397</v>
      </c>
      <c r="Z26" s="5">
        <f t="shared" ref="Z26:Z35" si="22">1/Y26</f>
        <v>1.5471075998105094E-2</v>
      </c>
      <c r="AA26" s="5">
        <f t="shared" ref="AA26:AA35" si="23">Z26^0.5</f>
        <v>0.12438278015105264</v>
      </c>
      <c r="AB26" s="5">
        <f>IF(AA26-(2.51/(T26*W26))&gt;0, AA26-(2.51/(T26*W26)), AA26)</f>
        <v>0.1243502858421712</v>
      </c>
      <c r="AC26" s="30">
        <f>AB26*3.7*$S$5</f>
        <v>104.07372823274676</v>
      </c>
      <c r="AD26" s="5">
        <f>(AE26/3600)/(PI()*($S$5/1000/2)^2)</f>
        <v>0</v>
      </c>
      <c r="AE26" s="5"/>
      <c r="AF26" s="5"/>
      <c r="AG26" s="5" t="e">
        <f>AF26/AD26</f>
        <v>#DIV/0!</v>
      </c>
      <c r="AH26" s="1">
        <f t="shared" ref="AH26:AH35" si="24">AD26*$S$5/1000/$AX$2</f>
        <v>0</v>
      </c>
      <c r="AI26" s="21" t="e">
        <f>(AF26/$AU$2*($S$5/1000)*2*$AU$2)/((AD26^2)*$AT$2)</f>
        <v>#DIV/0!</v>
      </c>
      <c r="AJ26" s="22" t="e">
        <f>((3.7^2)/(10^(1/(AI26^0.5))))^0.5*$S$5</f>
        <v>#DIV/0!</v>
      </c>
      <c r="AK26" s="1" t="e">
        <f t="shared" si="6"/>
        <v>#DIV/0!</v>
      </c>
      <c r="AL26" s="1" t="e">
        <f t="shared" si="7"/>
        <v>#DIV/0!</v>
      </c>
      <c r="AM26" s="1" t="e">
        <f t="shared" si="8"/>
        <v>#DIV/0!</v>
      </c>
      <c r="AN26" s="1" t="e">
        <f t="shared" si="9"/>
        <v>#DIV/0!</v>
      </c>
      <c r="AO26" s="1" t="e">
        <f t="shared" si="10"/>
        <v>#DIV/0!</v>
      </c>
      <c r="AP26" s="1" t="e">
        <f>IF(AO26-(2.51/(AH26*AK26))&gt;0, AO26-(2.51/(AH26*AK26)), AO26)</f>
        <v>#DIV/0!</v>
      </c>
      <c r="AQ26" s="28" t="e">
        <f t="shared" ref="AQ26:AQ35" si="25">AP26*3.7*S$5</f>
        <v>#DIV/0!</v>
      </c>
      <c r="AS26" s="1" t="s">
        <v>50</v>
      </c>
      <c r="AT26" s="1">
        <f>AT$23*0.02</f>
        <v>5.4889906843520872E-4</v>
      </c>
      <c r="AU26" s="1" t="s">
        <v>45</v>
      </c>
      <c r="AV26" s="12">
        <v>0.02</v>
      </c>
      <c r="AW26" s="13">
        <f>$AT26/4/$AS$2*100</f>
        <v>0.31043075038318785</v>
      </c>
      <c r="AX26" s="13">
        <f>$AT26/2/$AS$2*100</f>
        <v>0.6208615007663757</v>
      </c>
      <c r="AY26" s="13">
        <f>$AT26*3/4/$AS$2*100</f>
        <v>0.93129225114956371</v>
      </c>
      <c r="AZ26" s="13">
        <f>$AT26/$AS$2*100</f>
        <v>1.2417230015327514</v>
      </c>
    </row>
    <row r="27" spans="1:52" ht="15.75" x14ac:dyDescent="0.25">
      <c r="A27" s="21">
        <f t="shared" si="11"/>
        <v>0.61967357018271285</v>
      </c>
      <c r="B27" s="59">
        <v>89.647989999999993</v>
      </c>
      <c r="C27" s="59">
        <v>0.46841519236399015</v>
      </c>
      <c r="D27" s="5">
        <f t="shared" ref="D27:D35" si="26">C27/A27</f>
        <v>0.75590635925601335</v>
      </c>
      <c r="E27" s="30">
        <f t="shared" si="12"/>
        <v>139750.90884878329</v>
      </c>
      <c r="F27" s="15">
        <f t="shared" ref="F27:F35" si="27">(C27/$AU$2*($S$5/1000)*2*$AU$2)/((A27^2)*$AT$2)</f>
        <v>0.50168941341544293</v>
      </c>
      <c r="G27" s="30">
        <f t="shared" ref="G27:G35" si="28">((3.7^2)/(10^(1/(F27^0.5))))^0.5*$S$5</f>
        <v>164.7324359034065</v>
      </c>
      <c r="H27" s="30"/>
      <c r="I27" s="15">
        <f t="shared" si="13"/>
        <v>0.70830036948701569</v>
      </c>
      <c r="J27" s="15">
        <f t="shared" si="14"/>
        <v>1.4118304085091002</v>
      </c>
      <c r="K27" s="15">
        <f t="shared" si="15"/>
        <v>25.812520178865153</v>
      </c>
      <c r="L27" s="15">
        <f t="shared" si="16"/>
        <v>3.874088981124682E-2</v>
      </c>
      <c r="M27" s="15">
        <f t="shared" si="17"/>
        <v>0.1968270555875051</v>
      </c>
      <c r="N27" s="15">
        <f t="shared" ref="N27:N35" si="29">IF(M27-(2.51/(E27*I27))&gt;0, M27-(2.51/(E27*I27)), M27)</f>
        <v>0.19680169836904729</v>
      </c>
      <c r="O27" s="15">
        <f t="shared" ref="O27:O35" si="30">N27*3.7*S$5</f>
        <v>164.71121343299043</v>
      </c>
      <c r="P27" s="15">
        <f t="shared" ref="P27:P35" si="31">(Q27/3600)/(PI()*($S$5/1000/2)^2)</f>
        <v>0.62261032886551015</v>
      </c>
      <c r="Q27" s="59">
        <v>90.072850000000003</v>
      </c>
      <c r="R27" s="59">
        <v>0.36984358898703418</v>
      </c>
      <c r="S27" s="5">
        <v>0.75590635925601335</v>
      </c>
      <c r="T27" s="5">
        <f t="shared" si="18"/>
        <v>140413.21673916094</v>
      </c>
      <c r="U27" s="5">
        <f t="shared" ref="U27:U35" si="32">(R27/$AU$2*($S$5/1000)*2*$AU$2)/((P27^2)*$AT$2)</f>
        <v>0.39238768040418054</v>
      </c>
      <c r="V27" s="30">
        <f t="shared" ref="V27:V35" si="33">((3.7^2)/(10^(1/(U27^0.5))))^0.5*$S$5</f>
        <v>133.19662590958905</v>
      </c>
      <c r="W27" s="5">
        <f t="shared" si="19"/>
        <v>0.62640855709686827</v>
      </c>
      <c r="X27" s="5">
        <f t="shared" si="20"/>
        <v>1.596402202157911</v>
      </c>
      <c r="Y27" s="5">
        <f t="shared" si="21"/>
        <v>39.482278004329707</v>
      </c>
      <c r="Z27" s="5">
        <f t="shared" si="22"/>
        <v>2.5327819227916333E-2</v>
      </c>
      <c r="AA27" s="5">
        <f t="shared" si="23"/>
        <v>0.15914716217361946</v>
      </c>
      <c r="AB27" s="5">
        <f t="shared" ref="AB27:AB35" si="34">IF(AA27-(2.51/(T27*W27))&gt;0, AA27-(2.51/(T27*W27)), AA27)</f>
        <v>0.15911862519098727</v>
      </c>
      <c r="AC27" s="30">
        <f t="shared" ref="AC27:AC35" si="35">AB27*3.7*$S$5</f>
        <v>133.17274216734489</v>
      </c>
      <c r="AD27" s="5">
        <f t="shared" ref="AD27:AD35" si="36">(AE27/3600)/(PI()*($S$5/1000/2)^2)</f>
        <v>0</v>
      </c>
      <c r="AE27" s="5"/>
      <c r="AF27" s="5"/>
      <c r="AG27" s="5" t="e">
        <f t="shared" ref="AG27:AG35" si="37">AF27/AD27</f>
        <v>#DIV/0!</v>
      </c>
      <c r="AH27" s="1">
        <f t="shared" si="24"/>
        <v>0</v>
      </c>
      <c r="AI27" s="21" t="e">
        <f t="shared" ref="AI27:AI35" si="38">(AF27/$AU$2*($S$5/1000)*2*$AU$2)/((AD27^2)*$AT$2)</f>
        <v>#DIV/0!</v>
      </c>
      <c r="AJ27" s="22" t="e">
        <f t="shared" ref="AJ27:AJ35" si="39">((3.7^2)/(10^(1/(AI27^0.5))))^0.5*$S$5</f>
        <v>#DIV/0!</v>
      </c>
      <c r="AK27" s="1" t="e">
        <f t="shared" si="6"/>
        <v>#DIV/0!</v>
      </c>
      <c r="AL27" s="1" t="e">
        <f t="shared" si="7"/>
        <v>#DIV/0!</v>
      </c>
      <c r="AM27" s="1" t="e">
        <f t="shared" si="8"/>
        <v>#DIV/0!</v>
      </c>
      <c r="AN27" s="1" t="e">
        <f t="shared" si="9"/>
        <v>#DIV/0!</v>
      </c>
      <c r="AO27" s="1" t="e">
        <f t="shared" si="10"/>
        <v>#DIV/0!</v>
      </c>
      <c r="AP27" s="1" t="e">
        <f t="shared" ref="AP27:AP35" si="40">IF(AO27-(2.51/(AH27*AK27))&gt;0, AO27-(2.51/(AH27*AK27)), AO27)</f>
        <v>#DIV/0!</v>
      </c>
      <c r="AQ27" s="28" t="e">
        <f t="shared" si="25"/>
        <v>#DIV/0!</v>
      </c>
      <c r="AV27" s="12">
        <v>0.03</v>
      </c>
      <c r="AW27" s="13">
        <f>$AT25/4/$AS$2*100</f>
        <v>0.46564612557478174</v>
      </c>
      <c r="AX27" s="13">
        <f>$AT25/2/$AS$2*100</f>
        <v>0.93129225114956349</v>
      </c>
      <c r="AY27" s="13">
        <f>$AT25*3/4/$AS$2*100</f>
        <v>1.3969383767243453</v>
      </c>
      <c r="AZ27" s="13">
        <f>$AT25/$AS$2*100</f>
        <v>1.862584502299127</v>
      </c>
    </row>
    <row r="28" spans="1:52" ht="15.75" x14ac:dyDescent="0.25">
      <c r="A28" s="21">
        <f t="shared" si="11"/>
        <v>1.2429105679325201</v>
      </c>
      <c r="B28" s="59">
        <v>179.8115</v>
      </c>
      <c r="C28" s="59">
        <v>0.53086148650826248</v>
      </c>
      <c r="D28" s="5">
        <f t="shared" si="26"/>
        <v>0.42711157198647615</v>
      </c>
      <c r="E28" s="30">
        <f t="shared" si="12"/>
        <v>280305.45410402393</v>
      </c>
      <c r="F28" s="15">
        <f t="shared" si="27"/>
        <v>0.14132902687665991</v>
      </c>
      <c r="G28" s="30">
        <f t="shared" si="28"/>
        <v>39.145885383982865</v>
      </c>
      <c r="H28" s="30"/>
      <c r="I28" s="15">
        <f t="shared" si="13"/>
        <v>0.3759375305508349</v>
      </c>
      <c r="J28" s="15">
        <f t="shared" si="14"/>
        <v>2.6600164089357348</v>
      </c>
      <c r="K28" s="15">
        <f t="shared" si="15"/>
        <v>457.10546009086625</v>
      </c>
      <c r="L28" s="15">
        <f t="shared" si="16"/>
        <v>2.1876789653775168E-3</v>
      </c>
      <c r="M28" s="15">
        <f t="shared" si="17"/>
        <v>4.6772630515906598E-2</v>
      </c>
      <c r="N28" s="15">
        <f t="shared" si="29"/>
        <v>4.6748811353315663E-2</v>
      </c>
      <c r="O28" s="15">
        <f t="shared" si="30"/>
        <v>39.125950174044014</v>
      </c>
      <c r="P28" s="15">
        <f t="shared" si="31"/>
        <v>1.2503903649730863</v>
      </c>
      <c r="Q28" s="59">
        <v>180.89359999999999</v>
      </c>
      <c r="R28" s="59">
        <v>0.65049848866652282</v>
      </c>
      <c r="S28" s="5">
        <v>0.42711157198647615</v>
      </c>
      <c r="T28" s="5">
        <f t="shared" si="18"/>
        <v>281992.32358615368</v>
      </c>
      <c r="U28" s="5">
        <f t="shared" si="32"/>
        <v>0.17111377240808071</v>
      </c>
      <c r="V28" s="30">
        <f t="shared" si="33"/>
        <v>51.757021802969213</v>
      </c>
      <c r="W28" s="5">
        <f t="shared" si="19"/>
        <v>0.41365900498850583</v>
      </c>
      <c r="X28" s="5">
        <f t="shared" si="20"/>
        <v>2.417450092807206</v>
      </c>
      <c r="Y28" s="5">
        <f t="shared" si="21"/>
        <v>261.48699416330334</v>
      </c>
      <c r="Z28" s="5">
        <f t="shared" si="22"/>
        <v>3.8242819808295397E-3</v>
      </c>
      <c r="AA28" s="5">
        <f t="shared" si="23"/>
        <v>6.1840779270878693E-2</v>
      </c>
      <c r="AB28" s="5">
        <f t="shared" si="34"/>
        <v>6.1819261664811331E-2</v>
      </c>
      <c r="AC28" s="30">
        <f t="shared" si="35"/>
        <v>51.739012857747198</v>
      </c>
      <c r="AD28" s="5">
        <f t="shared" si="36"/>
        <v>0</v>
      </c>
      <c r="AE28" s="5"/>
      <c r="AF28" s="5"/>
      <c r="AG28" s="5" t="e">
        <f t="shared" si="37"/>
        <v>#DIV/0!</v>
      </c>
      <c r="AH28" s="1">
        <f t="shared" si="24"/>
        <v>0</v>
      </c>
      <c r="AI28" s="21" t="e">
        <f t="shared" si="38"/>
        <v>#DIV/0!</v>
      </c>
      <c r="AJ28" s="22" t="e">
        <f t="shared" si="39"/>
        <v>#DIV/0!</v>
      </c>
      <c r="AK28" s="1" t="e">
        <f t="shared" si="6"/>
        <v>#DIV/0!</v>
      </c>
      <c r="AL28" s="1" t="e">
        <f t="shared" si="7"/>
        <v>#DIV/0!</v>
      </c>
      <c r="AM28" s="1" t="e">
        <f t="shared" si="8"/>
        <v>#DIV/0!</v>
      </c>
      <c r="AN28" s="1" t="e">
        <f t="shared" si="9"/>
        <v>#DIV/0!</v>
      </c>
      <c r="AO28" s="1" t="e">
        <f t="shared" si="10"/>
        <v>#DIV/0!</v>
      </c>
      <c r="AP28" s="1" t="e">
        <f t="shared" si="40"/>
        <v>#DIV/0!</v>
      </c>
      <c r="AQ28" s="28" t="e">
        <f t="shared" si="25"/>
        <v>#DIV/0!</v>
      </c>
      <c r="AV28" s="12">
        <v>0.04</v>
      </c>
      <c r="AW28" s="13">
        <f>$AT24/4/$AS$2*100</f>
        <v>0.6208615007663757</v>
      </c>
      <c r="AX28" s="13">
        <f>$AT24/2/$AS$2*100</f>
        <v>1.2417230015327514</v>
      </c>
      <c r="AY28" s="13">
        <f>$AT24*3/4/$AS$2*100</f>
        <v>1.8625845022991274</v>
      </c>
      <c r="AZ28" s="13">
        <f>$AT24/$AS$2*100</f>
        <v>2.4834460030655028</v>
      </c>
    </row>
    <row r="29" spans="1:52" x14ac:dyDescent="0.2">
      <c r="A29" s="21">
        <f t="shared" si="11"/>
        <v>1.2444692910012269</v>
      </c>
      <c r="B29" s="59">
        <v>180.03700000000001</v>
      </c>
      <c r="C29" s="59">
        <v>0.52678707183319284</v>
      </c>
      <c r="D29" s="5">
        <f t="shared" si="26"/>
        <v>0.42330258821362388</v>
      </c>
      <c r="E29" s="30">
        <f t="shared" si="12"/>
        <v>280656.98267644818</v>
      </c>
      <c r="F29" s="15">
        <f t="shared" si="27"/>
        <v>0.1398932148628243</v>
      </c>
      <c r="G29" s="30">
        <f t="shared" si="28"/>
        <v>38.537025372115956</v>
      </c>
      <c r="H29" s="30"/>
      <c r="I29" s="15">
        <f t="shared" si="13"/>
        <v>0.37402301381442332</v>
      </c>
      <c r="J29" s="15">
        <f t="shared" si="14"/>
        <v>2.6736322714520551</v>
      </c>
      <c r="K29" s="15">
        <f t="shared" si="15"/>
        <v>471.66350225810788</v>
      </c>
      <c r="L29" s="15">
        <f t="shared" si="16"/>
        <v>2.1201555668659117E-3</v>
      </c>
      <c r="M29" s="15">
        <f t="shared" si="17"/>
        <v>4.6045147050106289E-2</v>
      </c>
      <c r="N29" s="15">
        <f t="shared" si="29"/>
        <v>4.6021235950737413E-2</v>
      </c>
      <c r="O29" s="15">
        <f t="shared" si="30"/>
        <v>38.517013216610174</v>
      </c>
      <c r="P29" s="15">
        <f t="shared" si="31"/>
        <v>1.2482440966234922</v>
      </c>
      <c r="Q29" s="59">
        <v>180.5831</v>
      </c>
      <c r="R29" s="59">
        <v>0.59223313125223387</v>
      </c>
      <c r="S29" s="5">
        <v>0.42330258821362388</v>
      </c>
      <c r="T29" s="5">
        <f t="shared" si="18"/>
        <v>281508.28978687327</v>
      </c>
      <c r="U29" s="5">
        <f t="shared" si="32"/>
        <v>0.15632324761076682</v>
      </c>
      <c r="V29" s="30">
        <f t="shared" si="33"/>
        <v>45.507150450590089</v>
      </c>
      <c r="W29" s="5">
        <f t="shared" si="19"/>
        <v>0.39537734837844063</v>
      </c>
      <c r="X29" s="5">
        <f t="shared" si="20"/>
        <v>2.5292293655701208</v>
      </c>
      <c r="Y29" s="5">
        <f t="shared" si="21"/>
        <v>338.24342680888134</v>
      </c>
      <c r="Z29" s="5">
        <f t="shared" si="22"/>
        <v>2.9564506528164786E-3</v>
      </c>
      <c r="AA29" s="5">
        <f t="shared" si="23"/>
        <v>5.4373253101285733E-2</v>
      </c>
      <c r="AB29" s="5">
        <f t="shared" si="34"/>
        <v>5.4350701844580691E-2</v>
      </c>
      <c r="AC29" s="30">
        <f t="shared" si="35"/>
        <v>45.488276401803361</v>
      </c>
      <c r="AD29" s="5">
        <f t="shared" si="36"/>
        <v>0</v>
      </c>
      <c r="AE29" s="5"/>
      <c r="AF29" s="5"/>
      <c r="AG29" s="5" t="e">
        <f t="shared" si="37"/>
        <v>#DIV/0!</v>
      </c>
      <c r="AH29" s="1">
        <f t="shared" si="24"/>
        <v>0</v>
      </c>
      <c r="AI29" s="21" t="e">
        <f t="shared" si="38"/>
        <v>#DIV/0!</v>
      </c>
      <c r="AJ29" s="22" t="e">
        <f t="shared" si="39"/>
        <v>#DIV/0!</v>
      </c>
      <c r="AK29" s="1" t="e">
        <f t="shared" si="6"/>
        <v>#DIV/0!</v>
      </c>
      <c r="AL29" s="1" t="e">
        <f t="shared" si="7"/>
        <v>#DIV/0!</v>
      </c>
      <c r="AM29" s="1" t="e">
        <f t="shared" si="8"/>
        <v>#DIV/0!</v>
      </c>
      <c r="AN29" s="1" t="e">
        <f t="shared" si="9"/>
        <v>#DIV/0!</v>
      </c>
      <c r="AO29" s="1" t="e">
        <f t="shared" si="10"/>
        <v>#DIV/0!</v>
      </c>
      <c r="AP29" s="1" t="e">
        <f t="shared" si="40"/>
        <v>#DIV/0!</v>
      </c>
      <c r="AQ29" s="28" t="e">
        <f t="shared" si="25"/>
        <v>#DIV/0!</v>
      </c>
      <c r="AS29" s="1">
        <f>0.000050265*441</f>
        <v>2.2166865000000001E-2</v>
      </c>
    </row>
    <row r="30" spans="1:52" ht="15.75" x14ac:dyDescent="0.25">
      <c r="A30" s="21">
        <f t="shared" si="11"/>
        <v>1.878172129155018</v>
      </c>
      <c r="B30" s="59">
        <v>271.71460000000002</v>
      </c>
      <c r="C30" s="60">
        <v>0.89298992820264789</v>
      </c>
      <c r="D30" s="5">
        <f t="shared" si="26"/>
        <v>0.47545691597734463</v>
      </c>
      <c r="E30" s="30">
        <f t="shared" si="12"/>
        <v>423571.82015440182</v>
      </c>
      <c r="F30" s="15">
        <f t="shared" si="27"/>
        <v>0.10411317445257598</v>
      </c>
      <c r="G30" s="30">
        <f t="shared" si="28"/>
        <v>23.610384404485433</v>
      </c>
      <c r="H30" s="30"/>
      <c r="I30" s="15">
        <f t="shared" si="13"/>
        <v>0.32266573176055741</v>
      </c>
      <c r="J30" s="15">
        <f t="shared" si="14"/>
        <v>3.099182533402947</v>
      </c>
      <c r="K30" s="15">
        <f t="shared" si="15"/>
        <v>1256.5579824014958</v>
      </c>
      <c r="L30" s="15">
        <f t="shared" si="16"/>
        <v>7.9582479599455498E-4</v>
      </c>
      <c r="M30" s="15">
        <f t="shared" si="17"/>
        <v>2.8210366817795103E-2</v>
      </c>
      <c r="N30" s="15">
        <f t="shared" si="29"/>
        <v>2.8192001695781069E-2</v>
      </c>
      <c r="O30" s="15">
        <f t="shared" si="30"/>
        <v>23.595013899267009</v>
      </c>
      <c r="P30" s="15">
        <f t="shared" si="31"/>
        <v>1.8653304630040488</v>
      </c>
      <c r="Q30" s="59">
        <v>269.85680000000002</v>
      </c>
      <c r="R30" s="59">
        <v>1.347865830537063</v>
      </c>
      <c r="S30" s="5">
        <v>0.47545691597734463</v>
      </c>
      <c r="T30" s="5">
        <f t="shared" si="18"/>
        <v>420675.72356083337</v>
      </c>
      <c r="U30" s="5">
        <f t="shared" si="32"/>
        <v>0.15931805992458173</v>
      </c>
      <c r="V30" s="30">
        <f t="shared" si="33"/>
        <v>46.775878278928793</v>
      </c>
      <c r="W30" s="5">
        <f t="shared" si="19"/>
        <v>0.39914666467926513</v>
      </c>
      <c r="X30" s="5">
        <f t="shared" si="20"/>
        <v>2.5053447479100233</v>
      </c>
      <c r="Y30" s="5">
        <f t="shared" si="21"/>
        <v>320.14354372290342</v>
      </c>
      <c r="Z30" s="5">
        <f t="shared" si="22"/>
        <v>3.1235988343576858E-3</v>
      </c>
      <c r="AA30" s="5">
        <f t="shared" si="23"/>
        <v>5.5889165625885716E-2</v>
      </c>
      <c r="AB30" s="5">
        <f t="shared" si="34"/>
        <v>5.5874217258378253E-2</v>
      </c>
      <c r="AC30" s="30">
        <f t="shared" si="35"/>
        <v>46.763367392227096</v>
      </c>
      <c r="AD30" s="5">
        <f t="shared" si="36"/>
        <v>0</v>
      </c>
      <c r="AE30" s="5"/>
      <c r="AF30" s="5"/>
      <c r="AG30" s="5" t="e">
        <f t="shared" si="37"/>
        <v>#DIV/0!</v>
      </c>
      <c r="AH30" s="1">
        <f t="shared" si="24"/>
        <v>0</v>
      </c>
      <c r="AI30" s="21" t="e">
        <f t="shared" si="38"/>
        <v>#DIV/0!</v>
      </c>
      <c r="AJ30" s="22" t="e">
        <f t="shared" si="39"/>
        <v>#DIV/0!</v>
      </c>
      <c r="AK30" s="1" t="e">
        <f t="shared" si="6"/>
        <v>#DIV/0!</v>
      </c>
      <c r="AL30" s="1" t="e">
        <f t="shared" si="7"/>
        <v>#DIV/0!</v>
      </c>
      <c r="AM30" s="1" t="e">
        <f t="shared" si="8"/>
        <v>#DIV/0!</v>
      </c>
      <c r="AN30" s="1" t="e">
        <f t="shared" si="9"/>
        <v>#DIV/0!</v>
      </c>
      <c r="AO30" s="1" t="e">
        <f t="shared" si="10"/>
        <v>#DIV/0!</v>
      </c>
      <c r="AP30" s="1" t="e">
        <f t="shared" si="40"/>
        <v>#DIV/0!</v>
      </c>
      <c r="AQ30" s="28" t="e">
        <f t="shared" si="25"/>
        <v>#DIV/0!</v>
      </c>
      <c r="AV30" s="1" t="s">
        <v>51</v>
      </c>
      <c r="AW30" s="12" t="s">
        <v>47</v>
      </c>
      <c r="AX30" s="12"/>
      <c r="AY30" s="12"/>
      <c r="AZ30" s="12"/>
    </row>
    <row r="31" spans="1:52" ht="15.75" x14ac:dyDescent="0.25">
      <c r="A31" s="21">
        <f t="shared" si="11"/>
        <v>1.8804607908315094</v>
      </c>
      <c r="B31" s="59">
        <v>272.04570000000001</v>
      </c>
      <c r="C31" s="60">
        <v>0.77274800266285237</v>
      </c>
      <c r="D31" s="5">
        <f t="shared" si="26"/>
        <v>0.41093545073128362</v>
      </c>
      <c r="E31" s="30">
        <f t="shared" si="12"/>
        <v>424087.96698513202</v>
      </c>
      <c r="F31" s="15">
        <f t="shared" si="27"/>
        <v>8.9875069120994799E-2</v>
      </c>
      <c r="G31" s="30">
        <f t="shared" si="28"/>
        <v>17.983312239939508</v>
      </c>
      <c r="H31" s="30"/>
      <c r="I31" s="15">
        <f t="shared" si="13"/>
        <v>0.29979170956014578</v>
      </c>
      <c r="J31" s="15">
        <f t="shared" si="14"/>
        <v>3.3356492795187678</v>
      </c>
      <c r="K31" s="15">
        <f t="shared" si="15"/>
        <v>2165.9542522136803</v>
      </c>
      <c r="L31" s="15">
        <f t="shared" si="16"/>
        <v>4.6169026837845965E-4</v>
      </c>
      <c r="M31" s="15">
        <f t="shared" si="17"/>
        <v>2.1486979042630902E-2</v>
      </c>
      <c r="N31" s="15">
        <f t="shared" si="29"/>
        <v>2.1467236724189018E-2</v>
      </c>
      <c r="O31" s="15">
        <f t="shared" si="30"/>
        <v>17.966789103942755</v>
      </c>
      <c r="P31" s="15">
        <f t="shared" si="31"/>
        <v>1.8537675718761868</v>
      </c>
      <c r="Q31" s="59">
        <v>268.18400000000003</v>
      </c>
      <c r="R31" s="59">
        <v>1.338672621439934</v>
      </c>
      <c r="S31" s="5">
        <v>0.41093545073128362</v>
      </c>
      <c r="T31" s="5">
        <f t="shared" si="18"/>
        <v>418068.02069630451</v>
      </c>
      <c r="U31" s="5">
        <f t="shared" si="32"/>
        <v>0.16021151635204278</v>
      </c>
      <c r="V31" s="30">
        <f t="shared" si="33"/>
        <v>47.154130612058019</v>
      </c>
      <c r="W31" s="5">
        <f t="shared" si="19"/>
        <v>0.40026430811657787</v>
      </c>
      <c r="X31" s="5">
        <f t="shared" si="20"/>
        <v>2.4983491650940501</v>
      </c>
      <c r="Y31" s="5">
        <f t="shared" si="21"/>
        <v>315.02800657638028</v>
      </c>
      <c r="Z31" s="5">
        <f t="shared" si="22"/>
        <v>3.1743209464697051E-3</v>
      </c>
      <c r="AA31" s="5">
        <f t="shared" si="23"/>
        <v>5.6341112400002405E-2</v>
      </c>
      <c r="AB31" s="5">
        <f t="shared" si="34"/>
        <v>5.6326112792058361E-2</v>
      </c>
      <c r="AC31" s="30">
        <f t="shared" si="35"/>
        <v>47.141576840185323</v>
      </c>
      <c r="AD31" s="5">
        <f t="shared" si="36"/>
        <v>0</v>
      </c>
      <c r="AE31" s="5"/>
      <c r="AF31" s="5"/>
      <c r="AG31" s="5" t="e">
        <f t="shared" si="37"/>
        <v>#DIV/0!</v>
      </c>
      <c r="AH31" s="1">
        <f t="shared" si="24"/>
        <v>0</v>
      </c>
      <c r="AI31" s="21" t="e">
        <f t="shared" si="38"/>
        <v>#DIV/0!</v>
      </c>
      <c r="AJ31" s="22" t="e">
        <f t="shared" si="39"/>
        <v>#DIV/0!</v>
      </c>
      <c r="AK31" s="1" t="e">
        <f t="shared" si="6"/>
        <v>#DIV/0!</v>
      </c>
      <c r="AL31" s="1" t="e">
        <f t="shared" si="7"/>
        <v>#DIV/0!</v>
      </c>
      <c r="AM31" s="1" t="e">
        <f t="shared" si="8"/>
        <v>#DIV/0!</v>
      </c>
      <c r="AN31" s="1" t="e">
        <f t="shared" si="9"/>
        <v>#DIV/0!</v>
      </c>
      <c r="AO31" s="1" t="e">
        <f t="shared" si="10"/>
        <v>#DIV/0!</v>
      </c>
      <c r="AP31" s="1" t="e">
        <f t="shared" si="40"/>
        <v>#DIV/0!</v>
      </c>
      <c r="AQ31" s="28" t="e">
        <f t="shared" si="25"/>
        <v>#DIV/0!</v>
      </c>
      <c r="AV31" s="12" t="s">
        <v>49</v>
      </c>
      <c r="AW31" s="12">
        <v>25</v>
      </c>
      <c r="AX31" s="12">
        <v>50</v>
      </c>
      <c r="AY31" s="12">
        <v>75</v>
      </c>
      <c r="AZ31" s="12">
        <v>100</v>
      </c>
    </row>
    <row r="32" spans="1:52" ht="15.75" x14ac:dyDescent="0.25">
      <c r="A32" s="21">
        <f t="shared" si="11"/>
        <v>2.4962324382423628</v>
      </c>
      <c r="B32" s="59">
        <v>361.12920000000003</v>
      </c>
      <c r="C32" s="59">
        <v>1.1931096759168378</v>
      </c>
      <c r="D32" s="5">
        <f t="shared" si="26"/>
        <v>0.47796417418440623</v>
      </c>
      <c r="E32" s="30">
        <f t="shared" si="12"/>
        <v>562958.90082793857</v>
      </c>
      <c r="F32" s="15">
        <f t="shared" si="27"/>
        <v>7.874812715513313E-2</v>
      </c>
      <c r="G32" s="30">
        <f t="shared" si="28"/>
        <v>13.83348248972654</v>
      </c>
      <c r="H32" s="30"/>
      <c r="I32" s="15">
        <f t="shared" si="13"/>
        <v>0.280620967062572</v>
      </c>
      <c r="J32" s="15">
        <f t="shared" si="14"/>
        <v>3.5635255999136484</v>
      </c>
      <c r="K32" s="15">
        <f t="shared" si="15"/>
        <v>3660.3751636209313</v>
      </c>
      <c r="L32" s="15">
        <f t="shared" si="16"/>
        <v>2.7319604010501915E-4</v>
      </c>
      <c r="M32" s="15">
        <f t="shared" si="17"/>
        <v>1.6528643020678351E-2</v>
      </c>
      <c r="N32" s="15">
        <f t="shared" si="29"/>
        <v>1.6512754739593127E-2</v>
      </c>
      <c r="O32" s="15">
        <f t="shared" si="30"/>
        <v>13.820184951755072</v>
      </c>
      <c r="P32" s="15">
        <f t="shared" si="31"/>
        <v>2.4784816584621443</v>
      </c>
      <c r="Q32" s="59">
        <v>358.56119999999999</v>
      </c>
      <c r="R32" s="59">
        <v>2.2504149819263013</v>
      </c>
      <c r="S32" s="5">
        <v>0.47796417418440623</v>
      </c>
      <c r="T32" s="5">
        <f t="shared" si="18"/>
        <v>558955.68409186148</v>
      </c>
      <c r="U32" s="5">
        <f t="shared" si="32"/>
        <v>0.15066802757064346</v>
      </c>
      <c r="V32" s="30">
        <f t="shared" si="33"/>
        <v>43.108711518207237</v>
      </c>
      <c r="W32" s="5">
        <f t="shared" si="19"/>
        <v>0.38815979643781173</v>
      </c>
      <c r="X32" s="5">
        <f t="shared" si="20"/>
        <v>2.5762585645837563</v>
      </c>
      <c r="Y32" s="5">
        <f t="shared" si="21"/>
        <v>376.92814275488149</v>
      </c>
      <c r="Z32" s="5">
        <f t="shared" si="22"/>
        <v>2.6530255679271622E-3</v>
      </c>
      <c r="AA32" s="5">
        <f t="shared" si="23"/>
        <v>5.1507529235318227E-2</v>
      </c>
      <c r="AB32" s="5">
        <f t="shared" si="34"/>
        <v>5.1495960502445225E-2</v>
      </c>
      <c r="AC32" s="30">
        <f t="shared" si="35"/>
        <v>43.09902918291651</v>
      </c>
      <c r="AD32" s="5">
        <f t="shared" si="36"/>
        <v>0</v>
      </c>
      <c r="AE32" s="5"/>
      <c r="AF32" s="5"/>
      <c r="AG32" s="5" t="e">
        <f t="shared" si="37"/>
        <v>#DIV/0!</v>
      </c>
      <c r="AH32" s="1">
        <f t="shared" si="24"/>
        <v>0</v>
      </c>
      <c r="AI32" s="21" t="e">
        <f t="shared" si="38"/>
        <v>#DIV/0!</v>
      </c>
      <c r="AJ32" s="22" t="e">
        <f t="shared" si="39"/>
        <v>#DIV/0!</v>
      </c>
      <c r="AK32" s="1" t="e">
        <f t="shared" si="6"/>
        <v>#DIV/0!</v>
      </c>
      <c r="AL32" s="1" t="e">
        <f t="shared" si="7"/>
        <v>#DIV/0!</v>
      </c>
      <c r="AM32" s="1" t="e">
        <f t="shared" si="8"/>
        <v>#DIV/0!</v>
      </c>
      <c r="AN32" s="1" t="e">
        <f t="shared" si="9"/>
        <v>#DIV/0!</v>
      </c>
      <c r="AO32" s="1" t="e">
        <f t="shared" si="10"/>
        <v>#DIV/0!</v>
      </c>
      <c r="AP32" s="1" t="e">
        <f t="shared" si="40"/>
        <v>#DIV/0!</v>
      </c>
      <c r="AQ32" s="28" t="e">
        <f t="shared" si="25"/>
        <v>#DIV/0!</v>
      </c>
      <c r="AV32" s="12">
        <v>0.02</v>
      </c>
      <c r="AW32" s="13">
        <f>$AT26/4</f>
        <v>1.3722476710880218E-4</v>
      </c>
      <c r="AX32" s="13">
        <f>$AT26/2</f>
        <v>2.7444953421760436E-4</v>
      </c>
      <c r="AY32" s="13">
        <f>$AT26*3/4</f>
        <v>4.1167430132640654E-4</v>
      </c>
      <c r="AZ32" s="13">
        <f>$AT26</f>
        <v>5.4889906843520872E-4</v>
      </c>
    </row>
    <row r="33" spans="1:53" ht="15.75" x14ac:dyDescent="0.25">
      <c r="A33" s="21">
        <f t="shared" si="11"/>
        <v>2.5037951828519951</v>
      </c>
      <c r="B33" s="59">
        <v>362.22329999999999</v>
      </c>
      <c r="C33" s="59">
        <v>1.1734405320056942</v>
      </c>
      <c r="D33" s="5">
        <f t="shared" si="26"/>
        <v>0.46866474544018599</v>
      </c>
      <c r="E33" s="30">
        <f t="shared" si="12"/>
        <v>564664.47693033027</v>
      </c>
      <c r="F33" s="15">
        <f t="shared" si="27"/>
        <v>7.6982745774839809E-2</v>
      </c>
      <c r="G33" s="30">
        <f t="shared" si="28"/>
        <v>13.201323769815939</v>
      </c>
      <c r="H33" s="30"/>
      <c r="I33" s="15">
        <f t="shared" si="13"/>
        <v>0.27745764681269791</v>
      </c>
      <c r="J33" s="15">
        <f t="shared" si="14"/>
        <v>3.6041536843101158</v>
      </c>
      <c r="K33" s="15">
        <f t="shared" si="15"/>
        <v>4019.3301820598731</v>
      </c>
      <c r="L33" s="15">
        <f t="shared" si="16"/>
        <v>2.4879767391677892E-4</v>
      </c>
      <c r="M33" s="15">
        <f t="shared" si="17"/>
        <v>1.5773321587946493E-2</v>
      </c>
      <c r="N33" s="15">
        <f t="shared" si="29"/>
        <v>1.5757300700999972E-2</v>
      </c>
      <c r="O33" s="15">
        <f t="shared" si="30"/>
        <v>13.187915248694916</v>
      </c>
      <c r="P33" s="15">
        <f t="shared" si="31"/>
        <v>2.495295130711912</v>
      </c>
      <c r="Q33" s="59">
        <v>360.99360000000001</v>
      </c>
      <c r="R33" s="59">
        <v>2.2494248737587594</v>
      </c>
      <c r="S33" s="5">
        <v>0.46866474544018599</v>
      </c>
      <c r="T33" s="5">
        <f t="shared" si="18"/>
        <v>562747.51601897751</v>
      </c>
      <c r="U33" s="5">
        <f t="shared" si="32"/>
        <v>0.14857904618669612</v>
      </c>
      <c r="V33" s="30">
        <f t="shared" si="33"/>
        <v>42.222240400235918</v>
      </c>
      <c r="W33" s="5">
        <f t="shared" si="19"/>
        <v>0.38545952600330963</v>
      </c>
      <c r="X33" s="5">
        <f t="shared" si="20"/>
        <v>2.5943061010027129</v>
      </c>
      <c r="Y33" s="5">
        <f t="shared" si="21"/>
        <v>392.92177837003607</v>
      </c>
      <c r="Z33" s="5">
        <f t="shared" si="22"/>
        <v>2.545035818956935E-3</v>
      </c>
      <c r="AA33" s="5">
        <f t="shared" si="23"/>
        <v>5.0448348030009221E-2</v>
      </c>
      <c r="AB33" s="5">
        <f t="shared" si="34"/>
        <v>5.0436776751366215E-2</v>
      </c>
      <c r="AC33" s="30">
        <f t="shared" si="35"/>
        <v>42.212555934288439</v>
      </c>
      <c r="AD33" s="5">
        <f t="shared" si="36"/>
        <v>0</v>
      </c>
      <c r="AE33" s="5"/>
      <c r="AF33" s="5"/>
      <c r="AG33" s="5" t="e">
        <f t="shared" si="37"/>
        <v>#DIV/0!</v>
      </c>
      <c r="AH33" s="1">
        <f t="shared" si="24"/>
        <v>0</v>
      </c>
      <c r="AI33" s="21" t="e">
        <f t="shared" si="38"/>
        <v>#DIV/0!</v>
      </c>
      <c r="AJ33" s="22" t="e">
        <f t="shared" si="39"/>
        <v>#DIV/0!</v>
      </c>
      <c r="AK33" s="1" t="e">
        <f t="shared" si="6"/>
        <v>#DIV/0!</v>
      </c>
      <c r="AL33" s="1" t="e">
        <f t="shared" si="7"/>
        <v>#DIV/0!</v>
      </c>
      <c r="AM33" s="1" t="e">
        <f t="shared" si="8"/>
        <v>#DIV/0!</v>
      </c>
      <c r="AN33" s="1" t="e">
        <f t="shared" si="9"/>
        <v>#DIV/0!</v>
      </c>
      <c r="AO33" s="1" t="e">
        <f t="shared" si="10"/>
        <v>#DIV/0!</v>
      </c>
      <c r="AP33" s="1" t="e">
        <f t="shared" si="40"/>
        <v>#DIV/0!</v>
      </c>
      <c r="AQ33" s="28" t="e">
        <f t="shared" si="25"/>
        <v>#DIV/0!</v>
      </c>
      <c r="AV33" s="12">
        <v>0.03</v>
      </c>
      <c r="AW33" s="13">
        <f>$AT25/4</f>
        <v>2.0583715066320324E-4</v>
      </c>
      <c r="AX33" s="13">
        <f>$AT25/2</f>
        <v>4.1167430132640648E-4</v>
      </c>
      <c r="AY33" s="13">
        <f>$AT25*3/4</f>
        <v>6.1751145198960975E-4</v>
      </c>
      <c r="AZ33" s="13">
        <f>$AT25</f>
        <v>8.2334860265281297E-4</v>
      </c>
    </row>
    <row r="34" spans="1:53" ht="15.75" x14ac:dyDescent="0.25">
      <c r="A34" s="21">
        <f t="shared" si="11"/>
        <v>3.7229730688151226</v>
      </c>
      <c r="B34" s="59">
        <v>538.60140000000001</v>
      </c>
      <c r="C34" s="59">
        <v>2.5911373317588877</v>
      </c>
      <c r="D34" s="5">
        <f t="shared" si="26"/>
        <v>0.6959860530453813</v>
      </c>
      <c r="E34" s="30">
        <f t="shared" si="12"/>
        <v>839617.65520037955</v>
      </c>
      <c r="F34" s="15">
        <f t="shared" si="27"/>
        <v>7.6884811382977328E-2</v>
      </c>
      <c r="G34" s="30">
        <f t="shared" si="28"/>
        <v>13.166493296825779</v>
      </c>
      <c r="H34" s="30"/>
      <c r="I34" s="15">
        <f t="shared" si="13"/>
        <v>0.27728110534794348</v>
      </c>
      <c r="J34" s="15">
        <f t="shared" si="14"/>
        <v>3.6064484045718146</v>
      </c>
      <c r="K34" s="15">
        <f t="shared" si="15"/>
        <v>4040.6236789542286</v>
      </c>
      <c r="L34" s="15">
        <f t="shared" si="16"/>
        <v>2.4748654649739974E-4</v>
      </c>
      <c r="M34" s="15">
        <f t="shared" si="17"/>
        <v>1.5731705136360769E-2</v>
      </c>
      <c r="N34" s="15">
        <f t="shared" si="29"/>
        <v>1.572092381769815E-2</v>
      </c>
      <c r="O34" s="15">
        <f t="shared" si="30"/>
        <v>13.15746997998429</v>
      </c>
      <c r="P34" s="15">
        <f t="shared" si="31"/>
        <v>3.7534742724203372</v>
      </c>
      <c r="Q34" s="59">
        <v>543.01400000000001</v>
      </c>
      <c r="R34" s="59">
        <v>5.1105271531928427</v>
      </c>
      <c r="S34" s="5">
        <v>0.6959860530453813</v>
      </c>
      <c r="T34" s="5">
        <f t="shared" si="18"/>
        <v>846496.39124773711</v>
      </c>
      <c r="U34" s="5">
        <f t="shared" si="32"/>
        <v>0.14918622488410882</v>
      </c>
      <c r="V34" s="30">
        <f t="shared" si="33"/>
        <v>42.479914283646011</v>
      </c>
      <c r="W34" s="5">
        <f t="shared" si="19"/>
        <v>0.38624632669335357</v>
      </c>
      <c r="X34" s="5">
        <f t="shared" si="20"/>
        <v>2.5890213858109106</v>
      </c>
      <c r="Y34" s="5">
        <f t="shared" si="21"/>
        <v>388.16948001364574</v>
      </c>
      <c r="Z34" s="5">
        <f t="shared" si="22"/>
        <v>2.5761942952466175E-3</v>
      </c>
      <c r="AA34" s="5">
        <f t="shared" si="23"/>
        <v>5.0756224202028834E-2</v>
      </c>
      <c r="AB34" s="5">
        <f t="shared" si="34"/>
        <v>5.0748547330933369E-2</v>
      </c>
      <c r="AC34" s="30">
        <f t="shared" si="35"/>
        <v>42.473489203151374</v>
      </c>
      <c r="AD34" s="5">
        <f t="shared" si="36"/>
        <v>0</v>
      </c>
      <c r="AE34" s="5"/>
      <c r="AF34" s="5"/>
      <c r="AG34" s="5" t="e">
        <f t="shared" si="37"/>
        <v>#DIV/0!</v>
      </c>
      <c r="AH34" s="1">
        <f t="shared" si="24"/>
        <v>0</v>
      </c>
      <c r="AI34" s="21" t="e">
        <f t="shared" si="38"/>
        <v>#DIV/0!</v>
      </c>
      <c r="AJ34" s="22" t="e">
        <f t="shared" si="39"/>
        <v>#DIV/0!</v>
      </c>
      <c r="AK34" s="1" t="e">
        <f t="shared" si="6"/>
        <v>#DIV/0!</v>
      </c>
      <c r="AL34" s="1" t="e">
        <f t="shared" si="7"/>
        <v>#DIV/0!</v>
      </c>
      <c r="AM34" s="1" t="e">
        <f t="shared" si="8"/>
        <v>#DIV/0!</v>
      </c>
      <c r="AN34" s="1" t="e">
        <f t="shared" si="9"/>
        <v>#DIV/0!</v>
      </c>
      <c r="AO34" s="1" t="e">
        <f t="shared" si="10"/>
        <v>#DIV/0!</v>
      </c>
      <c r="AP34" s="1" t="e">
        <f t="shared" si="40"/>
        <v>#DIV/0!</v>
      </c>
      <c r="AQ34" s="28" t="e">
        <f t="shared" si="25"/>
        <v>#DIV/0!</v>
      </c>
      <c r="AV34" s="12">
        <v>0.04</v>
      </c>
      <c r="AW34" s="13">
        <f>$AT24/4</f>
        <v>2.7444953421760436E-4</v>
      </c>
      <c r="AX34" s="13">
        <f>$AT24/2</f>
        <v>5.4889906843520872E-4</v>
      </c>
      <c r="AY34" s="13">
        <f>$AT24*3/4</f>
        <v>8.2334860265281308E-4</v>
      </c>
      <c r="AZ34" s="13">
        <f>$AT24</f>
        <v>1.0977981368704174E-3</v>
      </c>
    </row>
    <row r="35" spans="1:53" x14ac:dyDescent="0.2">
      <c r="A35" s="21">
        <f t="shared" si="11"/>
        <v>3.7305606976954757</v>
      </c>
      <c r="B35" s="59">
        <v>539.69910000000004</v>
      </c>
      <c r="C35" s="59">
        <v>2.5735384492033608</v>
      </c>
      <c r="D35" s="5">
        <f t="shared" si="26"/>
        <v>0.68985298933566308</v>
      </c>
      <c r="E35" s="30">
        <f t="shared" si="12"/>
        <v>841328.84328885004</v>
      </c>
      <c r="F35" s="15">
        <f t="shared" si="27"/>
        <v>7.6052299729792938E-2</v>
      </c>
      <c r="G35" s="30">
        <f t="shared" si="28"/>
        <v>12.871448608106794</v>
      </c>
      <c r="H35" s="30"/>
      <c r="I35" s="15">
        <f t="shared" si="13"/>
        <v>0.27577581425823572</v>
      </c>
      <c r="J35" s="15">
        <f t="shared" si="14"/>
        <v>3.6261337952703956</v>
      </c>
      <c r="K35" s="15">
        <f t="shared" si="15"/>
        <v>4227.9884795672497</v>
      </c>
      <c r="L35" s="15">
        <f t="shared" si="16"/>
        <v>2.3651909290499148E-4</v>
      </c>
      <c r="M35" s="15">
        <f t="shared" si="17"/>
        <v>1.5379177250587611E-2</v>
      </c>
      <c r="N35" s="15">
        <f t="shared" si="29"/>
        <v>1.5368359131253262E-2</v>
      </c>
      <c r="O35" s="15">
        <f t="shared" si="30"/>
        <v>12.862394491311104</v>
      </c>
      <c r="P35" s="15">
        <f t="shared" si="31"/>
        <v>3.7369317622295197</v>
      </c>
      <c r="Q35" s="59">
        <v>540.62080000000003</v>
      </c>
      <c r="R35" s="59">
        <v>5.1172882628753804</v>
      </c>
      <c r="S35" s="5">
        <v>0.68985298933566308</v>
      </c>
      <c r="T35" s="5">
        <f t="shared" si="18"/>
        <v>842765.66761347698</v>
      </c>
      <c r="U35" s="5">
        <f t="shared" si="32"/>
        <v>0.1507090936329093</v>
      </c>
      <c r="V35" s="30">
        <f t="shared" si="33"/>
        <v>43.126136452034984</v>
      </c>
      <c r="W35" s="5">
        <f t="shared" si="19"/>
        <v>0.38821269123112051</v>
      </c>
      <c r="X35" s="5">
        <f t="shared" si="20"/>
        <v>2.575907543951609</v>
      </c>
      <c r="Y35" s="5">
        <f t="shared" si="21"/>
        <v>376.62361183188693</v>
      </c>
      <c r="Z35" s="5">
        <f t="shared" si="22"/>
        <v>2.6551707555881252E-3</v>
      </c>
      <c r="AA35" s="5">
        <f t="shared" si="23"/>
        <v>5.152834904776326E-2</v>
      </c>
      <c r="AB35" s="5">
        <f t="shared" si="34"/>
        <v>5.152067724979642E-2</v>
      </c>
      <c r="AC35" s="30">
        <f t="shared" si="35"/>
        <v>43.119715617444612</v>
      </c>
      <c r="AD35" s="5">
        <f t="shared" si="36"/>
        <v>0</v>
      </c>
      <c r="AE35" s="5"/>
      <c r="AF35" s="5"/>
      <c r="AG35" s="5" t="e">
        <f t="shared" si="37"/>
        <v>#DIV/0!</v>
      </c>
      <c r="AH35" s="1">
        <f t="shared" si="24"/>
        <v>0</v>
      </c>
      <c r="AI35" s="21" t="e">
        <f t="shared" si="38"/>
        <v>#DIV/0!</v>
      </c>
      <c r="AJ35" s="22" t="e">
        <f t="shared" si="39"/>
        <v>#DIV/0!</v>
      </c>
      <c r="AK35" s="1" t="e">
        <f t="shared" si="6"/>
        <v>#DIV/0!</v>
      </c>
      <c r="AL35" s="1" t="e">
        <f t="shared" si="7"/>
        <v>#DIV/0!</v>
      </c>
      <c r="AM35" s="1" t="e">
        <f t="shared" si="8"/>
        <v>#DIV/0!</v>
      </c>
      <c r="AN35" s="1" t="e">
        <f t="shared" si="9"/>
        <v>#DIV/0!</v>
      </c>
      <c r="AO35" s="1" t="e">
        <f t="shared" si="10"/>
        <v>#DIV/0!</v>
      </c>
      <c r="AP35" s="1" t="e">
        <f t="shared" si="40"/>
        <v>#DIV/0!</v>
      </c>
      <c r="AQ35" s="28" t="e">
        <f t="shared" si="25"/>
        <v>#DIV/0!</v>
      </c>
    </row>
    <row r="36" spans="1:53" s="20" customFormat="1" x14ac:dyDescent="0.2">
      <c r="A36" s="37"/>
      <c r="B36" s="35"/>
      <c r="C36" s="35"/>
      <c r="D36" s="35"/>
      <c r="E36" s="36"/>
      <c r="F36" s="38"/>
      <c r="G36" s="36">
        <f>AVERAGE(G26:G35)</f>
        <v>50.602359019699037</v>
      </c>
      <c r="H36" s="36"/>
      <c r="I36" s="38"/>
      <c r="J36" s="38"/>
      <c r="K36" s="38"/>
      <c r="L36" s="38"/>
      <c r="M36" s="38"/>
      <c r="N36" s="38"/>
      <c r="O36" s="38">
        <f>AVERAGE(O26:O35)</f>
        <v>50.586477323032696</v>
      </c>
      <c r="P36" s="38"/>
      <c r="Q36" s="35"/>
      <c r="R36" s="35"/>
      <c r="S36" s="35"/>
      <c r="T36" s="35"/>
      <c r="U36" s="35"/>
      <c r="V36" s="36">
        <f>AVERAGE(V26:V35)</f>
        <v>59.942873372788128</v>
      </c>
      <c r="W36" s="35"/>
      <c r="X36" s="35"/>
      <c r="Y36" s="35"/>
      <c r="Z36" s="35"/>
      <c r="AA36" s="35"/>
      <c r="AB36" s="35"/>
      <c r="AC36" s="36">
        <f>AVERAGE(AC26:AC35)</f>
        <v>59.928349382985559</v>
      </c>
      <c r="AD36" s="35"/>
      <c r="AE36" s="35"/>
      <c r="AF36" s="35"/>
      <c r="AG36" s="35"/>
      <c r="AJ36" s="39" t="e">
        <f>AVERAGE(AJ26:AJ35)</f>
        <v>#DIV/0!</v>
      </c>
      <c r="AQ36" s="40" t="e">
        <f>AVERAGE(AQ26:AQ35)</f>
        <v>#DIV/0!</v>
      </c>
    </row>
    <row r="37" spans="1:53" s="20" customFormat="1" ht="15.75" x14ac:dyDescent="0.25">
      <c r="A37" s="37"/>
      <c r="B37" s="35"/>
      <c r="C37" s="35"/>
      <c r="D37" s="35"/>
      <c r="E37" s="36"/>
      <c r="F37" s="38"/>
      <c r="G37" s="36">
        <f>STDEV(G26:G35)</f>
        <v>62.070875951683796</v>
      </c>
      <c r="H37" s="36"/>
      <c r="I37" s="38"/>
      <c r="J37" s="38"/>
      <c r="K37" s="38"/>
      <c r="L37" s="38"/>
      <c r="M37" s="38"/>
      <c r="N37" s="38"/>
      <c r="O37" s="38">
        <f>STDEV(O26:O35)</f>
        <v>62.067635720360954</v>
      </c>
      <c r="P37" s="38"/>
      <c r="Q37" s="35"/>
      <c r="R37" s="35"/>
      <c r="S37" s="35"/>
      <c r="T37" s="35"/>
      <c r="U37" s="35"/>
      <c r="V37" s="36">
        <f>STDEV(V26:V35)</f>
        <v>31.821608801022183</v>
      </c>
      <c r="W37" s="35"/>
      <c r="X37" s="35"/>
      <c r="Y37" s="35"/>
      <c r="Z37" s="35"/>
      <c r="AA37" s="35"/>
      <c r="AB37" s="35"/>
      <c r="AC37" s="36">
        <f>STDEV(AC26:AC35)</f>
        <v>31.815845912789403</v>
      </c>
      <c r="AD37" s="35"/>
      <c r="AE37" s="35"/>
      <c r="AF37" s="35"/>
      <c r="AG37" s="35"/>
      <c r="AJ37" s="39" t="e">
        <f>STDEV(AJ26:AJ35)</f>
        <v>#DIV/0!</v>
      </c>
      <c r="AQ37" s="40" t="e">
        <f>STDEV(AQ26:AQ35)</f>
        <v>#DIV/0!</v>
      </c>
      <c r="AU37" s="12" t="s">
        <v>78</v>
      </c>
      <c r="AV37" s="80">
        <v>0.25</v>
      </c>
      <c r="AW37" s="81"/>
      <c r="AY37" s="82" t="s">
        <v>81</v>
      </c>
      <c r="AZ37" s="83"/>
    </row>
    <row r="38" spans="1:53" ht="15.75" x14ac:dyDescent="0.25">
      <c r="A38" s="21"/>
      <c r="B38" s="85">
        <v>0.75</v>
      </c>
      <c r="C38" s="86"/>
      <c r="D38" s="86"/>
      <c r="E38" s="86"/>
      <c r="F38" s="86"/>
      <c r="G38" s="86"/>
      <c r="H38" s="86"/>
      <c r="I38" s="86"/>
      <c r="J38" s="86"/>
      <c r="K38" s="86"/>
      <c r="L38" s="86"/>
      <c r="M38" s="86"/>
      <c r="N38" s="86"/>
      <c r="O38" s="86"/>
      <c r="P38" s="86"/>
      <c r="Q38" s="86"/>
      <c r="R38" s="86"/>
      <c r="S38" s="86"/>
      <c r="T38" s="86"/>
      <c r="U38" s="86"/>
      <c r="V38" s="86"/>
      <c r="W38" s="86"/>
      <c r="X38" s="86"/>
      <c r="Y38" s="86"/>
      <c r="Z38" s="86"/>
      <c r="AA38" s="86"/>
      <c r="AB38" s="86"/>
      <c r="AC38" s="86"/>
      <c r="AD38" s="86"/>
      <c r="AE38" s="86"/>
      <c r="AF38" s="86"/>
      <c r="AG38" s="86"/>
      <c r="AQ38" s="28"/>
      <c r="AU38" s="42" t="s">
        <v>75</v>
      </c>
      <c r="AV38" s="43" t="s">
        <v>76</v>
      </c>
      <c r="AW38" s="43" t="s">
        <v>77</v>
      </c>
      <c r="AY38" s="20" t="s">
        <v>79</v>
      </c>
      <c r="AZ38" s="20" t="s">
        <v>80</v>
      </c>
    </row>
    <row r="39" spans="1:53" ht="15.75" x14ac:dyDescent="0.25">
      <c r="A39" s="21"/>
      <c r="B39" s="84" t="s">
        <v>52</v>
      </c>
      <c r="C39" s="84"/>
      <c r="D39" s="84"/>
      <c r="E39" s="23"/>
      <c r="F39" s="23"/>
      <c r="G39" s="23" t="s">
        <v>72</v>
      </c>
      <c r="H39" s="33"/>
      <c r="I39" s="23"/>
      <c r="J39" s="23"/>
      <c r="K39" s="23"/>
      <c r="L39" s="23"/>
      <c r="M39" s="23"/>
      <c r="N39" s="23"/>
      <c r="O39" s="23"/>
      <c r="P39" s="23"/>
      <c r="Q39" s="84" t="s">
        <v>53</v>
      </c>
      <c r="R39" s="84"/>
      <c r="S39" s="84"/>
      <c r="T39" s="23"/>
      <c r="U39" s="23"/>
      <c r="V39" s="23" t="s">
        <v>72</v>
      </c>
      <c r="W39" s="23"/>
      <c r="X39" s="23"/>
      <c r="Y39" s="23"/>
      <c r="Z39" s="23"/>
      <c r="AA39" s="23"/>
      <c r="AB39" s="23"/>
      <c r="AC39" s="23"/>
      <c r="AD39" s="23"/>
      <c r="AE39" s="84" t="s">
        <v>54</v>
      </c>
      <c r="AF39" s="84"/>
      <c r="AG39" s="84"/>
      <c r="AJ39" s="1" t="s">
        <v>72</v>
      </c>
      <c r="AQ39" s="28"/>
      <c r="AT39" s="1">
        <v>20</v>
      </c>
      <c r="AU39" s="45">
        <f>AW26</f>
        <v>0.31043075038318785</v>
      </c>
      <c r="AV39" s="46">
        <f>G21</f>
        <v>2.0439592098201453</v>
      </c>
      <c r="AW39" s="46">
        <f>G22</f>
        <v>0.19101714510799075</v>
      </c>
      <c r="AY39" s="21">
        <f>A13</f>
        <v>1.2668153511655595</v>
      </c>
      <c r="AZ39" s="21">
        <f>A17</f>
        <v>4.7908141116206195</v>
      </c>
    </row>
    <row r="40" spans="1:53" ht="15" x14ac:dyDescent="0.2">
      <c r="A40" s="20" t="s">
        <v>55</v>
      </c>
      <c r="B40" s="3" t="s">
        <v>8</v>
      </c>
      <c r="C40" s="4" t="s">
        <v>9</v>
      </c>
      <c r="D40" s="3" t="s">
        <v>88</v>
      </c>
      <c r="E40" s="3" t="s">
        <v>56</v>
      </c>
      <c r="F40" s="3" t="s">
        <v>57</v>
      </c>
      <c r="G40" s="3" t="s">
        <v>74</v>
      </c>
      <c r="H40" s="3"/>
      <c r="I40" s="3" t="s">
        <v>61</v>
      </c>
      <c r="J40" s="3" t="s">
        <v>62</v>
      </c>
      <c r="K40" s="3" t="s">
        <v>63</v>
      </c>
      <c r="L40" s="3" t="s">
        <v>65</v>
      </c>
      <c r="M40" s="3" t="s">
        <v>64</v>
      </c>
      <c r="N40" s="3" t="s">
        <v>66</v>
      </c>
      <c r="O40" s="3" t="s">
        <v>67</v>
      </c>
      <c r="P40" s="3" t="s">
        <v>55</v>
      </c>
      <c r="Q40" s="3" t="s">
        <v>8</v>
      </c>
      <c r="R40" s="4" t="s">
        <v>9</v>
      </c>
      <c r="S40" s="3" t="s">
        <v>88</v>
      </c>
      <c r="T40" s="3" t="s">
        <v>56</v>
      </c>
      <c r="U40" s="3" t="s">
        <v>57</v>
      </c>
      <c r="V40" s="3" t="s">
        <v>74</v>
      </c>
      <c r="W40" s="3" t="s">
        <v>61</v>
      </c>
      <c r="X40" s="3" t="s">
        <v>62</v>
      </c>
      <c r="Y40" s="3" t="s">
        <v>63</v>
      </c>
      <c r="Z40" s="3" t="s">
        <v>65</v>
      </c>
      <c r="AA40" s="3" t="s">
        <v>64</v>
      </c>
      <c r="AB40" s="3" t="s">
        <v>66</v>
      </c>
      <c r="AC40" s="3" t="s">
        <v>67</v>
      </c>
      <c r="AD40" s="3" t="s">
        <v>55</v>
      </c>
      <c r="AE40" s="3" t="s">
        <v>8</v>
      </c>
      <c r="AF40" s="4" t="s">
        <v>9</v>
      </c>
      <c r="AG40" s="3" t="s">
        <v>88</v>
      </c>
      <c r="AH40" s="27" t="s">
        <v>56</v>
      </c>
      <c r="AI40" s="27" t="s">
        <v>57</v>
      </c>
      <c r="AJ40" s="27" t="s">
        <v>74</v>
      </c>
      <c r="AK40" s="16" t="s">
        <v>61</v>
      </c>
      <c r="AL40" s="16" t="s">
        <v>62</v>
      </c>
      <c r="AM40" s="16" t="s">
        <v>63</v>
      </c>
      <c r="AN40" s="16" t="s">
        <v>65</v>
      </c>
      <c r="AO40" s="16" t="s">
        <v>64</v>
      </c>
      <c r="AP40" s="16" t="s">
        <v>66</v>
      </c>
      <c r="AQ40" s="17" t="s">
        <v>67</v>
      </c>
      <c r="AT40" s="16">
        <v>30</v>
      </c>
      <c r="AU40" s="44">
        <f>AW27</f>
        <v>0.46564612557478174</v>
      </c>
      <c r="AV40" s="47">
        <f>V21</f>
        <v>16.290862909405231</v>
      </c>
      <c r="AW40" s="47">
        <f>V22</f>
        <v>0.72735615933920927</v>
      </c>
      <c r="AY40" s="41">
        <f>P13</f>
        <v>1.251644065165725</v>
      </c>
      <c r="AZ40" s="41">
        <f>P17</f>
        <v>4.7701364969010438</v>
      </c>
    </row>
    <row r="41" spans="1:53" ht="15" x14ac:dyDescent="0.2">
      <c r="A41" s="21">
        <f t="shared" ref="A41:A50" si="41">(B41/3600)/(PI()*(S$5/1000/2)^2)</f>
        <v>0.62310773778801198</v>
      </c>
      <c r="B41" s="5">
        <v>90.144810000000007</v>
      </c>
      <c r="C41" s="5">
        <v>7.0357122247443657E-2</v>
      </c>
      <c r="D41" s="5">
        <f>C41/A41</f>
        <v>0.11291325396986149</v>
      </c>
      <c r="E41" s="30">
        <f t="shared" ref="E41:E50" si="42">A41*S$5/1000/AX$2</f>
        <v>140525.39410533229</v>
      </c>
      <c r="F41" s="15">
        <f>(C41/$AU$2*($S$5/1000)*2*$AU$2)/((A41^2)*$AT$2)</f>
        <v>7.452666543714434E-2</v>
      </c>
      <c r="G41" s="30">
        <f>((3.7^2)/(10^(1/(F41^0.5))))^0.5*$S$5</f>
        <v>12.335700237301966</v>
      </c>
      <c r="H41" s="30"/>
      <c r="I41" s="15">
        <f t="shared" ref="I41:I50" si="43">F41^0.5</f>
        <v>0.27299572421036988</v>
      </c>
      <c r="J41" s="15">
        <f t="shared" ref="J41:J50" si="44">1/I41</f>
        <v>3.6630610347193655</v>
      </c>
      <c r="K41" s="15">
        <f t="shared" ref="K41:K50" si="45">10^J41</f>
        <v>4603.2126149712194</v>
      </c>
      <c r="L41" s="15">
        <f t="shared" ref="L41:L50" si="46">1/K41</f>
        <v>2.1723958540338949E-4</v>
      </c>
      <c r="M41" s="15">
        <f t="shared" ref="M41:M50" si="47">L41^0.5</f>
        <v>1.4739049677757026E-2</v>
      </c>
      <c r="N41" s="15">
        <f>IF(M41-(2.51/(E41*I41))&gt;0, M41-(2.51/(E41*I41)), M41)</f>
        <v>1.4673621765202987E-2</v>
      </c>
      <c r="O41" s="5">
        <f>N41*3.7*S$5</f>
        <v>12.280941000168989</v>
      </c>
      <c r="P41" s="15">
        <f>(Q41/3600)/(PI()*($S$5/1000/2)^2)</f>
        <v>0.62442114342120481</v>
      </c>
      <c r="Q41" s="59">
        <v>90.334819999999993</v>
      </c>
      <c r="R41" s="59">
        <v>0.10938393459397333</v>
      </c>
      <c r="S41" s="5">
        <f>R41/P41</f>
        <v>0.17517653869735819</v>
      </c>
      <c r="T41" s="5">
        <f t="shared" ref="T41:T50" si="48">P41*$S$5/1000/$AX$2</f>
        <v>140821.59784833153</v>
      </c>
      <c r="U41" s="25">
        <f>(R41/$AU$2*($S$5/1000)*2*$AU$2)/((P41^2)*$AT$2)</f>
        <v>0.11537939351240159</v>
      </c>
      <c r="V41" s="30">
        <f>((3.7^2)/(10^(1/(U41^0.5))))^0.5*$S$5</f>
        <v>28.229349552896931</v>
      </c>
      <c r="W41" s="25">
        <f t="shared" ref="W41:W50" si="49">U41^0.5</f>
        <v>0.33967542376863474</v>
      </c>
      <c r="X41" s="25">
        <f t="shared" ref="X41:X50" si="50">1/W41</f>
        <v>2.943986906397845</v>
      </c>
      <c r="Y41" s="25">
        <f t="shared" ref="Y41:Y50" si="51">10^X41</f>
        <v>878.99601546349402</v>
      </c>
      <c r="Z41" s="25">
        <f t="shared" ref="Z41:Z50" si="52">1/Y41</f>
        <v>1.1376615848169695E-3</v>
      </c>
      <c r="AA41" s="25">
        <f t="shared" ref="AA41:AA50" si="53">Z41^0.5</f>
        <v>3.372923931571789E-2</v>
      </c>
      <c r="AB41" s="25">
        <f>IF(AA41-(2.51/(T41*W41))&gt;0, AA41-(2.51/(T41*W41)), AA41)</f>
        <v>3.3676765780067362E-2</v>
      </c>
      <c r="AC41" s="5">
        <f>AB41*3.7*$S$5</f>
        <v>28.185432351969578</v>
      </c>
      <c r="AD41" s="25">
        <f>(AE41/3600)/(PI()*($S$5/1000/2)^2)</f>
        <v>0</v>
      </c>
      <c r="AE41" s="59"/>
      <c r="AF41" s="59"/>
      <c r="AG41" s="5" t="e">
        <f>AF41/AD41</f>
        <v>#DIV/0!</v>
      </c>
      <c r="AH41" s="1">
        <f t="shared" ref="AH41:AH50" si="54">AD41*$S$5/1000/$AX$2</f>
        <v>0</v>
      </c>
      <c r="AI41" s="22" t="e">
        <f>(AF41/$AU$2*($S$5/1000)*2*$AU$2)/((AD41^2)*$AT$2)</f>
        <v>#DIV/0!</v>
      </c>
      <c r="AJ41" s="22" t="e">
        <f>((3.7^2)/(10^(1/(AI41^0.5))))^0.5*$S$5</f>
        <v>#DIV/0!</v>
      </c>
      <c r="AK41" s="1" t="e">
        <f t="shared" si="6"/>
        <v>#DIV/0!</v>
      </c>
      <c r="AL41" s="1" t="e">
        <f t="shared" si="7"/>
        <v>#DIV/0!</v>
      </c>
      <c r="AM41" s="1" t="e">
        <f t="shared" si="8"/>
        <v>#DIV/0!</v>
      </c>
      <c r="AN41" s="1" t="e">
        <f t="shared" si="9"/>
        <v>#DIV/0!</v>
      </c>
      <c r="AO41" s="1" t="e">
        <f t="shared" si="10"/>
        <v>#DIV/0!</v>
      </c>
      <c r="AP41" s="1" t="e">
        <f>IF(AO41-(2.51/(AH41*AK41))&gt;0, AO41-(2.51/(AH41*AK41)), AO41)</f>
        <v>#DIV/0!</v>
      </c>
      <c r="AQ41" s="28" t="e">
        <f t="shared" ref="AQ41:AQ50" si="55">AP41*3.7*S$5</f>
        <v>#DIV/0!</v>
      </c>
      <c r="AT41" s="16">
        <v>40</v>
      </c>
      <c r="AU41" s="52">
        <f>AW28</f>
        <v>0.6208615007663757</v>
      </c>
      <c r="AV41" s="53" t="e">
        <f>AJ21</f>
        <v>#DIV/0!</v>
      </c>
      <c r="AW41" s="47" t="e">
        <f>AJ22</f>
        <v>#DIV/0!</v>
      </c>
      <c r="AY41" s="54">
        <f>AD13</f>
        <v>0</v>
      </c>
      <c r="AZ41" s="54">
        <f>AD17</f>
        <v>0</v>
      </c>
    </row>
    <row r="42" spans="1:53" ht="15.75" x14ac:dyDescent="0.25">
      <c r="A42" s="21">
        <f t="shared" si="41"/>
        <v>0.62273004985686276</v>
      </c>
      <c r="B42" s="5">
        <v>90.090170000000001</v>
      </c>
      <c r="C42" s="5">
        <v>7.0891885663057735E-2</v>
      </c>
      <c r="D42" s="5">
        <f t="shared" ref="D42:D50" si="56">C42/A42</f>
        <v>0.11384047659070338</v>
      </c>
      <c r="E42" s="30">
        <f t="shared" si="42"/>
        <v>140440.21662773914</v>
      </c>
      <c r="F42" s="15">
        <f t="shared" ref="F42:F50" si="57">(C42/$AU$2*($S$5/1000)*2*$AU$2)/((A42^2)*$AT$2)</f>
        <v>7.5184236399459606E-2</v>
      </c>
      <c r="G42" s="30">
        <f t="shared" ref="G42:G50" si="58">((3.7^2)/(10^(1/(F42^0.5))))^0.5*$S$5</f>
        <v>12.565818930284577</v>
      </c>
      <c r="H42" s="30"/>
      <c r="I42" s="15">
        <f t="shared" si="43"/>
        <v>0.27419744054140915</v>
      </c>
      <c r="J42" s="15">
        <f t="shared" si="44"/>
        <v>3.6470070545716147</v>
      </c>
      <c r="K42" s="15">
        <f t="shared" si="45"/>
        <v>4436.1584985850559</v>
      </c>
      <c r="L42" s="15">
        <f t="shared" si="46"/>
        <v>2.2542025951483859E-4</v>
      </c>
      <c r="M42" s="15">
        <f t="shared" si="47"/>
        <v>1.5014002115186963E-2</v>
      </c>
      <c r="N42" s="15">
        <f t="shared" ref="N42:N50" si="59">IF(M42-(2.51/(E42*I42))&gt;0, M42-(2.51/(E42*I42)), M42)</f>
        <v>1.4948821443106122E-2</v>
      </c>
      <c r="O42" s="5">
        <f t="shared" ref="O42:O50" si="60">N42*3.7*S$5</f>
        <v>12.511266618593238</v>
      </c>
      <c r="P42" s="15">
        <f t="shared" ref="P42:P50" si="61">(Q42/3600)/(PI()*($S$5/1000/2)^2)</f>
        <v>0.62507649833980383</v>
      </c>
      <c r="Q42" s="59">
        <v>90.429630000000003</v>
      </c>
      <c r="R42" s="59">
        <v>8.2222037633675915E-2</v>
      </c>
      <c r="S42" s="5">
        <f t="shared" ref="S42:S50" si="62">R42/P42</f>
        <v>0.13153916017008593</v>
      </c>
      <c r="T42" s="5">
        <f t="shared" si="48"/>
        <v>140969.39573725185</v>
      </c>
      <c r="U42" s="25">
        <f t="shared" ref="U42:U50" si="63">(R42/$AU$2*($S$5/1000)*2*$AU$2)/((P42^2)*$AT$2)</f>
        <v>8.6546957516400416E-2</v>
      </c>
      <c r="V42" s="30">
        <f t="shared" ref="V42:V50" si="64">((3.7^2)/(10^(1/(U42^0.5))))^0.5*$S$5</f>
        <v>16.714930711773548</v>
      </c>
      <c r="W42" s="25">
        <f t="shared" si="49"/>
        <v>0.29418864273863532</v>
      </c>
      <c r="X42" s="25">
        <f t="shared" si="50"/>
        <v>3.3991794880009203</v>
      </c>
      <c r="Y42" s="25">
        <f t="shared" si="51"/>
        <v>2507.1452079497963</v>
      </c>
      <c r="Z42" s="25">
        <f t="shared" si="52"/>
        <v>3.9886002487177214E-4</v>
      </c>
      <c r="AA42" s="25">
        <f t="shared" si="53"/>
        <v>1.9971480287444197E-2</v>
      </c>
      <c r="AB42" s="25">
        <f t="shared" ref="AB42:AB50" si="65">IF(AA42-(2.51/(T42*W42))&gt;0, AA42-(2.51/(T42*W42)), AA42)</f>
        <v>1.991095693434148E-2</v>
      </c>
      <c r="AC42" s="5">
        <f t="shared" ref="AC42:AC50" si="66">AB42*3.7*$S$5</f>
        <v>16.664276296627758</v>
      </c>
      <c r="AD42" s="25">
        <f t="shared" ref="AD42:AD50" si="67">(AE42/3600)/(PI()*($S$5/1000/2)^2)</f>
        <v>0</v>
      </c>
      <c r="AE42" s="59"/>
      <c r="AF42" s="59"/>
      <c r="AG42" s="5" t="e">
        <f t="shared" ref="AG42:AG50" si="68">AF42/AD42</f>
        <v>#DIV/0!</v>
      </c>
      <c r="AH42" s="1">
        <f t="shared" si="54"/>
        <v>0</v>
      </c>
      <c r="AI42" s="22" t="e">
        <f t="shared" ref="AI42:AI50" si="69">(AF42/$AU$2*($S$5/1000)*2*$AU$2)/((AD42^2)*$AT$2)</f>
        <v>#DIV/0!</v>
      </c>
      <c r="AJ42" s="22" t="e">
        <f t="shared" ref="AJ42:AJ50" si="70">((3.7^2)/(10^(1/(AI42^0.5))))^0.5*$S$5</f>
        <v>#DIV/0!</v>
      </c>
      <c r="AK42" s="1" t="e">
        <f t="shared" si="6"/>
        <v>#DIV/0!</v>
      </c>
      <c r="AL42" s="1" t="e">
        <f t="shared" si="7"/>
        <v>#DIV/0!</v>
      </c>
      <c r="AM42" s="1" t="e">
        <f t="shared" si="8"/>
        <v>#DIV/0!</v>
      </c>
      <c r="AN42" s="1" t="e">
        <f t="shared" si="9"/>
        <v>#DIV/0!</v>
      </c>
      <c r="AO42" s="1" t="e">
        <f t="shared" si="10"/>
        <v>#DIV/0!</v>
      </c>
      <c r="AP42" s="1" t="e">
        <f t="shared" ref="AP42:AP50" si="71">IF(AO42-(2.51/(AH42*AK42))&gt;0, AO42-(2.51/(AH42*AK42)), AO42)</f>
        <v>#DIV/0!</v>
      </c>
      <c r="AQ42" s="28" t="e">
        <f t="shared" si="55"/>
        <v>#DIV/0!</v>
      </c>
      <c r="AU42" s="43"/>
      <c r="AV42" s="43"/>
      <c r="AW42" s="43"/>
      <c r="AX42" s="43"/>
      <c r="AY42" s="43"/>
      <c r="AZ42" s="43"/>
      <c r="BA42" s="43"/>
    </row>
    <row r="43" spans="1:53" ht="15.75" x14ac:dyDescent="0.25">
      <c r="A43" s="21">
        <f t="shared" si="41"/>
        <v>1.2330197615510892</v>
      </c>
      <c r="B43" s="5">
        <v>178.38059999999999</v>
      </c>
      <c r="C43" s="5">
        <v>0.24241306495867959</v>
      </c>
      <c r="D43" s="5">
        <f t="shared" si="56"/>
        <v>0.19660111907187419</v>
      </c>
      <c r="E43" s="30">
        <f t="shared" si="42"/>
        <v>278074.84552627755</v>
      </c>
      <c r="F43" s="15">
        <f t="shared" si="57"/>
        <v>6.5576141556600409E-2</v>
      </c>
      <c r="G43" s="30">
        <f t="shared" si="58"/>
        <v>9.3361367813044911</v>
      </c>
      <c r="H43" s="30"/>
      <c r="I43" s="15">
        <f t="shared" si="43"/>
        <v>0.25607838947595796</v>
      </c>
      <c r="J43" s="15">
        <f t="shared" si="44"/>
        <v>3.9050542376746926</v>
      </c>
      <c r="K43" s="15">
        <f t="shared" si="45"/>
        <v>8036.2647830738151</v>
      </c>
      <c r="L43" s="15">
        <f t="shared" si="46"/>
        <v>1.2443591979525431E-4</v>
      </c>
      <c r="M43" s="15">
        <f t="shared" si="47"/>
        <v>1.11550849299884E-2</v>
      </c>
      <c r="N43" s="15">
        <f t="shared" si="59"/>
        <v>1.1119836556055069E-2</v>
      </c>
      <c r="O43" s="5">
        <f t="shared" si="60"/>
        <v>9.3066360072247303</v>
      </c>
      <c r="P43" s="15">
        <f t="shared" si="61"/>
        <v>1.2423423770844149</v>
      </c>
      <c r="Q43" s="59">
        <v>179.72929999999999</v>
      </c>
      <c r="R43" s="59">
        <v>0.54379841531219308</v>
      </c>
      <c r="S43" s="5">
        <f t="shared" si="62"/>
        <v>0.43772024954055239</v>
      </c>
      <c r="T43" s="5">
        <f t="shared" si="48"/>
        <v>280177.31375522894</v>
      </c>
      <c r="U43" s="25">
        <f t="shared" si="63"/>
        <v>0.14490562676733798</v>
      </c>
      <c r="V43" s="30">
        <f t="shared" si="64"/>
        <v>40.66328716351827</v>
      </c>
      <c r="W43" s="25">
        <f t="shared" si="49"/>
        <v>0.38066471699822402</v>
      </c>
      <c r="X43" s="25">
        <f t="shared" si="50"/>
        <v>2.6269836823481212</v>
      </c>
      <c r="Y43" s="25">
        <f t="shared" si="51"/>
        <v>423.62704890377302</v>
      </c>
      <c r="Z43" s="25">
        <f t="shared" si="52"/>
        <v>2.3605669245807537E-3</v>
      </c>
      <c r="AA43" s="25">
        <f t="shared" si="53"/>
        <v>4.8585665834490255E-2</v>
      </c>
      <c r="AB43" s="25">
        <f t="shared" si="65"/>
        <v>4.8562131705497731E-2</v>
      </c>
      <c r="AC43" s="5">
        <f t="shared" si="66"/>
        <v>40.643590509599271</v>
      </c>
      <c r="AD43" s="25">
        <f t="shared" si="67"/>
        <v>0</v>
      </c>
      <c r="AE43" s="59"/>
      <c r="AF43" s="59"/>
      <c r="AG43" s="5" t="e">
        <f t="shared" si="68"/>
        <v>#DIV/0!</v>
      </c>
      <c r="AH43" s="1">
        <f t="shared" si="54"/>
        <v>0</v>
      </c>
      <c r="AI43" s="22" t="e">
        <f t="shared" si="69"/>
        <v>#DIV/0!</v>
      </c>
      <c r="AJ43" s="22" t="e">
        <f t="shared" si="70"/>
        <v>#DIV/0!</v>
      </c>
      <c r="AK43" s="1" t="e">
        <f t="shared" si="6"/>
        <v>#DIV/0!</v>
      </c>
      <c r="AL43" s="1" t="e">
        <f t="shared" si="7"/>
        <v>#DIV/0!</v>
      </c>
      <c r="AM43" s="1" t="e">
        <f t="shared" si="8"/>
        <v>#DIV/0!</v>
      </c>
      <c r="AN43" s="1" t="e">
        <f t="shared" si="9"/>
        <v>#DIV/0!</v>
      </c>
      <c r="AO43" s="1" t="e">
        <f t="shared" si="10"/>
        <v>#DIV/0!</v>
      </c>
      <c r="AP43" s="1" t="e">
        <f t="shared" si="71"/>
        <v>#DIV/0!</v>
      </c>
      <c r="AQ43" s="28" t="e">
        <f t="shared" si="55"/>
        <v>#DIV/0!</v>
      </c>
      <c r="AU43" s="12" t="s">
        <v>78</v>
      </c>
      <c r="AV43" s="80">
        <v>0.5</v>
      </c>
      <c r="AW43" s="81"/>
      <c r="AY43" s="82" t="s">
        <v>81</v>
      </c>
      <c r="AZ43" s="83"/>
    </row>
    <row r="44" spans="1:53" ht="15.75" x14ac:dyDescent="0.25">
      <c r="A44" s="21">
        <f t="shared" si="41"/>
        <v>1.232618157070859</v>
      </c>
      <c r="B44" s="5">
        <v>178.32249999999999</v>
      </c>
      <c r="C44" s="5">
        <v>0.24860462660310112</v>
      </c>
      <c r="D44" s="5">
        <f t="shared" si="56"/>
        <v>0.20168827237939974</v>
      </c>
      <c r="E44" s="30">
        <f t="shared" si="42"/>
        <v>277984.27430650877</v>
      </c>
      <c r="F44" s="15">
        <f t="shared" si="57"/>
        <v>6.7294875841774529E-2</v>
      </c>
      <c r="G44" s="30">
        <f t="shared" si="58"/>
        <v>9.8915098002183548</v>
      </c>
      <c r="H44" s="30"/>
      <c r="I44" s="15">
        <f t="shared" si="43"/>
        <v>0.25941255914426065</v>
      </c>
      <c r="J44" s="15">
        <f t="shared" si="44"/>
        <v>3.8548634780781561</v>
      </c>
      <c r="K44" s="15">
        <f t="shared" si="45"/>
        <v>7159.1832351870735</v>
      </c>
      <c r="L44" s="15">
        <f t="shared" si="46"/>
        <v>1.3968073831174534E-4</v>
      </c>
      <c r="M44" s="15">
        <f t="shared" si="47"/>
        <v>1.1818660597197354E-2</v>
      </c>
      <c r="N44" s="15">
        <f t="shared" si="59"/>
        <v>1.1783853925654101E-2</v>
      </c>
      <c r="O44" s="5">
        <f t="shared" si="60"/>
        <v>9.8623787045369422</v>
      </c>
      <c r="P44" s="15">
        <f t="shared" si="61"/>
        <v>1.244425743527467</v>
      </c>
      <c r="Q44" s="59">
        <v>180.0307</v>
      </c>
      <c r="R44" s="59">
        <v>0.55035791007950685</v>
      </c>
      <c r="S44" s="5">
        <f t="shared" si="62"/>
        <v>0.44225853807833837</v>
      </c>
      <c r="T44" s="5">
        <f t="shared" si="48"/>
        <v>280647.1617008106</v>
      </c>
      <c r="U44" s="25">
        <f t="shared" si="63"/>
        <v>0.14616289968378723</v>
      </c>
      <c r="V44" s="30">
        <f t="shared" si="64"/>
        <v>41.196841583982959</v>
      </c>
      <c r="W44" s="25">
        <f t="shared" si="49"/>
        <v>0.38231256804320107</v>
      </c>
      <c r="X44" s="25">
        <f t="shared" si="50"/>
        <v>2.615660806335304</v>
      </c>
      <c r="Y44" s="25">
        <f t="shared" si="51"/>
        <v>412.7250286359037</v>
      </c>
      <c r="Z44" s="25">
        <f t="shared" si="52"/>
        <v>2.4229206629534854E-3</v>
      </c>
      <c r="AA44" s="25">
        <f t="shared" si="53"/>
        <v>4.9223172012310273E-2</v>
      </c>
      <c r="AB44" s="25">
        <f t="shared" si="65"/>
        <v>4.9199778550626523E-2</v>
      </c>
      <c r="AC44" s="5">
        <f t="shared" si="66"/>
        <v>41.177262660161361</v>
      </c>
      <c r="AD44" s="25">
        <f t="shared" si="67"/>
        <v>0</v>
      </c>
      <c r="AE44" s="59"/>
      <c r="AF44" s="59"/>
      <c r="AG44" s="5" t="e">
        <f t="shared" si="68"/>
        <v>#DIV/0!</v>
      </c>
      <c r="AH44" s="1">
        <f t="shared" si="54"/>
        <v>0</v>
      </c>
      <c r="AI44" s="22" t="e">
        <f t="shared" si="69"/>
        <v>#DIV/0!</v>
      </c>
      <c r="AJ44" s="22" t="e">
        <f t="shared" si="70"/>
        <v>#DIV/0!</v>
      </c>
      <c r="AK44" s="1" t="e">
        <f t="shared" si="6"/>
        <v>#DIV/0!</v>
      </c>
      <c r="AL44" s="1" t="e">
        <f t="shared" si="7"/>
        <v>#DIV/0!</v>
      </c>
      <c r="AM44" s="1" t="e">
        <f t="shared" si="8"/>
        <v>#DIV/0!</v>
      </c>
      <c r="AN44" s="1" t="e">
        <f t="shared" si="9"/>
        <v>#DIV/0!</v>
      </c>
      <c r="AO44" s="1" t="e">
        <f t="shared" si="10"/>
        <v>#DIV/0!</v>
      </c>
      <c r="AP44" s="1" t="e">
        <f t="shared" si="71"/>
        <v>#DIV/0!</v>
      </c>
      <c r="AQ44" s="28" t="e">
        <f t="shared" si="55"/>
        <v>#DIV/0!</v>
      </c>
      <c r="AU44" s="42" t="s">
        <v>75</v>
      </c>
      <c r="AV44" s="43" t="s">
        <v>76</v>
      </c>
      <c r="AW44" s="43" t="s">
        <v>77</v>
      </c>
      <c r="AY44" s="20" t="s">
        <v>79</v>
      </c>
      <c r="AZ44" s="20" t="s">
        <v>80</v>
      </c>
    </row>
    <row r="45" spans="1:53" ht="15.75" x14ac:dyDescent="0.25">
      <c r="A45" s="21">
        <f t="shared" si="41"/>
        <v>1.8750429321119866</v>
      </c>
      <c r="B45" s="5">
        <v>271.26190000000003</v>
      </c>
      <c r="C45" s="5">
        <v>0.68344671673787261</v>
      </c>
      <c r="D45" s="5">
        <f t="shared" si="56"/>
        <v>0.36449656966950655</v>
      </c>
      <c r="E45" s="30">
        <f t="shared" si="42"/>
        <v>422866.11290501629</v>
      </c>
      <c r="F45" s="15">
        <f t="shared" si="57"/>
        <v>7.9948835155833328E-2</v>
      </c>
      <c r="G45" s="30">
        <f t="shared" si="58"/>
        <v>14.267957380112628</v>
      </c>
      <c r="H45" s="30"/>
      <c r="I45" s="15">
        <f t="shared" si="43"/>
        <v>0.28275225048765451</v>
      </c>
      <c r="J45" s="15">
        <f t="shared" si="44"/>
        <v>3.5366650425428245</v>
      </c>
      <c r="K45" s="15">
        <f t="shared" si="45"/>
        <v>3440.8444705723045</v>
      </c>
      <c r="L45" s="15">
        <f t="shared" si="46"/>
        <v>2.9062632983050036E-4</v>
      </c>
      <c r="M45" s="15">
        <f t="shared" si="47"/>
        <v>1.7047766124348971E-2</v>
      </c>
      <c r="N45" s="15">
        <f t="shared" si="59"/>
        <v>1.7026773595068725E-2</v>
      </c>
      <c r="O45" s="5">
        <f t="shared" si="60"/>
        <v>14.250387892656818</v>
      </c>
      <c r="P45" s="15">
        <f t="shared" si="61"/>
        <v>1.8861440817720452</v>
      </c>
      <c r="Q45" s="59">
        <v>272.86790000000002</v>
      </c>
      <c r="R45" s="59">
        <v>1.547318456258864</v>
      </c>
      <c r="S45" s="5">
        <f t="shared" si="62"/>
        <v>0.82036068782462679</v>
      </c>
      <c r="T45" s="5">
        <f t="shared" si="48"/>
        <v>425369.68225008633</v>
      </c>
      <c r="U45" s="25">
        <f t="shared" si="63"/>
        <v>0.17887921749434035</v>
      </c>
      <c r="V45" s="30">
        <f t="shared" si="64"/>
        <v>55.016981333721112</v>
      </c>
      <c r="W45" s="25">
        <f t="shared" si="49"/>
        <v>0.42294115133708654</v>
      </c>
      <c r="X45" s="25">
        <f t="shared" si="50"/>
        <v>2.3643951335513207</v>
      </c>
      <c r="Y45" s="25">
        <f t="shared" si="51"/>
        <v>231.4169330144758</v>
      </c>
      <c r="Z45" s="25">
        <f t="shared" si="52"/>
        <v>4.3212049653144746E-3</v>
      </c>
      <c r="AA45" s="25">
        <f t="shared" si="53"/>
        <v>6.5735872743232629E-2</v>
      </c>
      <c r="AB45" s="25">
        <f t="shared" si="65"/>
        <v>6.5721921039496201E-2</v>
      </c>
      <c r="AC45" s="5">
        <f t="shared" si="66"/>
        <v>55.005304594795952</v>
      </c>
      <c r="AD45" s="25">
        <f t="shared" si="67"/>
        <v>0</v>
      </c>
      <c r="AE45" s="59"/>
      <c r="AF45" s="59"/>
      <c r="AG45" s="5" t="e">
        <f t="shared" si="68"/>
        <v>#DIV/0!</v>
      </c>
      <c r="AH45" s="1">
        <f t="shared" si="54"/>
        <v>0</v>
      </c>
      <c r="AI45" s="22" t="e">
        <f t="shared" si="69"/>
        <v>#DIV/0!</v>
      </c>
      <c r="AJ45" s="22" t="e">
        <f t="shared" si="70"/>
        <v>#DIV/0!</v>
      </c>
      <c r="AK45" s="1" t="e">
        <f t="shared" si="6"/>
        <v>#DIV/0!</v>
      </c>
      <c r="AL45" s="1" t="e">
        <f t="shared" si="7"/>
        <v>#DIV/0!</v>
      </c>
      <c r="AM45" s="1" t="e">
        <f t="shared" si="8"/>
        <v>#DIV/0!</v>
      </c>
      <c r="AN45" s="1" t="e">
        <f t="shared" si="9"/>
        <v>#DIV/0!</v>
      </c>
      <c r="AO45" s="1" t="e">
        <f t="shared" si="10"/>
        <v>#DIV/0!</v>
      </c>
      <c r="AP45" s="1" t="e">
        <f t="shared" si="71"/>
        <v>#DIV/0!</v>
      </c>
      <c r="AQ45" s="28" t="e">
        <f t="shared" si="55"/>
        <v>#DIV/0!</v>
      </c>
      <c r="AT45" s="1">
        <v>20</v>
      </c>
      <c r="AU45" s="54">
        <f>AX26</f>
        <v>0.6208615007663757</v>
      </c>
      <c r="AV45" s="55">
        <f>G36</f>
        <v>50.602359019699037</v>
      </c>
      <c r="AW45" s="46">
        <f>G37</f>
        <v>62.070875951683796</v>
      </c>
      <c r="AY45" s="54">
        <f>A26</f>
        <v>0.61739921696188527</v>
      </c>
      <c r="AZ45" s="54">
        <f>A35</f>
        <v>3.7305606976954757</v>
      </c>
    </row>
    <row r="46" spans="1:53" ht="15.75" x14ac:dyDescent="0.25">
      <c r="A46" s="21">
        <f t="shared" si="41"/>
        <v>1.8660804472743575</v>
      </c>
      <c r="B46" s="5">
        <v>269.96530000000001</v>
      </c>
      <c r="C46" s="5">
        <v>0.69198401280945088</v>
      </c>
      <c r="D46" s="5">
        <f t="shared" si="56"/>
        <v>0.37082217640733528</v>
      </c>
      <c r="E46" s="30">
        <f t="shared" si="42"/>
        <v>420844.86258570262</v>
      </c>
      <c r="F46" s="15">
        <f t="shared" si="57"/>
        <v>8.1726941647672052E-2</v>
      </c>
      <c r="G46" s="30">
        <f t="shared" si="58"/>
        <v>14.917776828614699</v>
      </c>
      <c r="H46" s="30"/>
      <c r="I46" s="15">
        <f t="shared" si="43"/>
        <v>0.28587924312141316</v>
      </c>
      <c r="J46" s="15">
        <f t="shared" si="44"/>
        <v>3.4979804377588168</v>
      </c>
      <c r="K46" s="15">
        <f t="shared" si="45"/>
        <v>3147.6065309853429</v>
      </c>
      <c r="L46" s="15">
        <f t="shared" si="46"/>
        <v>3.1770171721144408E-4</v>
      </c>
      <c r="M46" s="15">
        <f t="shared" si="47"/>
        <v>1.7824189103895976E-2</v>
      </c>
      <c r="N46" s="15">
        <f t="shared" si="59"/>
        <v>1.7803326473317976E-2</v>
      </c>
      <c r="O46" s="5">
        <f t="shared" si="60"/>
        <v>14.900316058578749</v>
      </c>
      <c r="P46" s="15">
        <f t="shared" si="61"/>
        <v>1.8847560924496667</v>
      </c>
      <c r="Q46" s="59">
        <v>272.6671</v>
      </c>
      <c r="R46" s="59">
        <v>1.5378544204764519</v>
      </c>
      <c r="S46" s="5">
        <f t="shared" si="62"/>
        <v>0.81594346697543363</v>
      </c>
      <c r="T46" s="5">
        <f t="shared" si="48"/>
        <v>425056.65813770145</v>
      </c>
      <c r="U46" s="25">
        <f t="shared" si="63"/>
        <v>0.17804706736731915</v>
      </c>
      <c r="V46" s="30">
        <f t="shared" si="64"/>
        <v>54.668520619018679</v>
      </c>
      <c r="W46" s="25">
        <f t="shared" si="49"/>
        <v>0.42195623868751975</v>
      </c>
      <c r="X46" s="25">
        <f t="shared" si="50"/>
        <v>2.3699140060364208</v>
      </c>
      <c r="Y46" s="25">
        <f t="shared" si="51"/>
        <v>234.37646842317542</v>
      </c>
      <c r="Z46" s="25">
        <f t="shared" si="52"/>
        <v>4.2666399350060301E-3</v>
      </c>
      <c r="AA46" s="25">
        <f t="shared" si="53"/>
        <v>6.5319521852245904E-2</v>
      </c>
      <c r="AB46" s="25">
        <f t="shared" si="65"/>
        <v>6.5305527284601178E-2</v>
      </c>
      <c r="AC46" s="5">
        <f t="shared" si="66"/>
        <v>54.656808005574113</v>
      </c>
      <c r="AD46" s="25">
        <f t="shared" si="67"/>
        <v>0</v>
      </c>
      <c r="AE46" s="59"/>
      <c r="AF46" s="59"/>
      <c r="AG46" s="5" t="e">
        <f t="shared" si="68"/>
        <v>#DIV/0!</v>
      </c>
      <c r="AH46" s="1">
        <f t="shared" si="54"/>
        <v>0</v>
      </c>
      <c r="AI46" s="22" t="e">
        <f t="shared" si="69"/>
        <v>#DIV/0!</v>
      </c>
      <c r="AJ46" s="22" t="e">
        <f t="shared" si="70"/>
        <v>#DIV/0!</v>
      </c>
      <c r="AK46" s="1" t="e">
        <f t="shared" si="6"/>
        <v>#DIV/0!</v>
      </c>
      <c r="AL46" s="1" t="e">
        <f t="shared" si="7"/>
        <v>#DIV/0!</v>
      </c>
      <c r="AM46" s="1" t="e">
        <f t="shared" si="8"/>
        <v>#DIV/0!</v>
      </c>
      <c r="AN46" s="1" t="e">
        <f t="shared" si="9"/>
        <v>#DIV/0!</v>
      </c>
      <c r="AO46" s="1" t="e">
        <f t="shared" si="10"/>
        <v>#DIV/0!</v>
      </c>
      <c r="AP46" s="1" t="e">
        <f t="shared" si="71"/>
        <v>#DIV/0!</v>
      </c>
      <c r="AQ46" s="28" t="e">
        <f t="shared" si="55"/>
        <v>#DIV/0!</v>
      </c>
      <c r="AT46" s="1">
        <v>30</v>
      </c>
      <c r="AU46" s="48">
        <f>AX27</f>
        <v>0.93129225114956349</v>
      </c>
      <c r="AV46" s="49">
        <f>V36</f>
        <v>59.942873372788128</v>
      </c>
      <c r="AW46" s="46">
        <f>V37</f>
        <v>31.821608801022183</v>
      </c>
      <c r="AY46" s="56">
        <f>P26</f>
        <v>0.620109459658157</v>
      </c>
      <c r="AZ46" s="56">
        <f>P35</f>
        <v>3.7369317622295197</v>
      </c>
    </row>
    <row r="47" spans="1:53" ht="15.75" x14ac:dyDescent="0.25">
      <c r="A47" s="21">
        <f t="shared" si="41"/>
        <v>2.4988577288033156</v>
      </c>
      <c r="B47" s="5">
        <v>361.50900000000001</v>
      </c>
      <c r="C47" s="5">
        <v>1.3750854860054635</v>
      </c>
      <c r="D47" s="5">
        <f t="shared" si="56"/>
        <v>0.55028562456974361</v>
      </c>
      <c r="E47" s="30">
        <f t="shared" si="42"/>
        <v>563550.96535923227</v>
      </c>
      <c r="F47" s="15">
        <f t="shared" si="57"/>
        <v>9.0568369294139986E-2</v>
      </c>
      <c r="G47" s="30">
        <f t="shared" si="58"/>
        <v>18.250112287666557</v>
      </c>
      <c r="H47" s="30"/>
      <c r="I47" s="15">
        <f t="shared" si="43"/>
        <v>0.30094579128829829</v>
      </c>
      <c r="J47" s="15">
        <f t="shared" si="44"/>
        <v>3.322857567534566</v>
      </c>
      <c r="K47" s="15">
        <f t="shared" si="45"/>
        <v>2103.0885916764846</v>
      </c>
      <c r="L47" s="15">
        <f t="shared" si="46"/>
        <v>4.7549114381474839E-4</v>
      </c>
      <c r="M47" s="15">
        <f t="shared" si="47"/>
        <v>2.1805759418436873E-2</v>
      </c>
      <c r="N47" s="15">
        <f t="shared" si="59"/>
        <v>2.1790959741021371E-2</v>
      </c>
      <c r="O47" s="5">
        <f t="shared" si="60"/>
        <v>18.237725845650427</v>
      </c>
      <c r="P47" s="15">
        <f t="shared" si="61"/>
        <v>2.4776065616084932</v>
      </c>
      <c r="Q47" s="59">
        <v>358.43459999999999</v>
      </c>
      <c r="R47" s="59">
        <v>2.718023975383018</v>
      </c>
      <c r="S47" s="5">
        <f t="shared" si="62"/>
        <v>1.0970361547712575</v>
      </c>
      <c r="T47" s="5">
        <f t="shared" si="48"/>
        <v>558758.32924809691</v>
      </c>
      <c r="U47" s="25">
        <f t="shared" si="63"/>
        <v>0.18210359073179413</v>
      </c>
      <c r="V47" s="30">
        <f t="shared" si="64"/>
        <v>56.365017934877876</v>
      </c>
      <c r="W47" s="25">
        <f t="shared" si="49"/>
        <v>0.42673597309319278</v>
      </c>
      <c r="X47" s="25">
        <f t="shared" si="50"/>
        <v>2.3433693502600845</v>
      </c>
      <c r="Y47" s="25">
        <f t="shared" si="51"/>
        <v>220.48007616763365</v>
      </c>
      <c r="Z47" s="25">
        <f t="shared" si="52"/>
        <v>4.5355572139755976E-3</v>
      </c>
      <c r="AA47" s="25">
        <f t="shared" si="53"/>
        <v>6.7346545672184233E-2</v>
      </c>
      <c r="AB47" s="25">
        <f t="shared" si="65"/>
        <v>6.7336019015557802E-2</v>
      </c>
      <c r="AC47" s="5">
        <f t="shared" si="66"/>
        <v>56.356207754880941</v>
      </c>
      <c r="AD47" s="25">
        <f t="shared" si="67"/>
        <v>0</v>
      </c>
      <c r="AE47" s="59"/>
      <c r="AF47" s="59"/>
      <c r="AG47" s="5" t="e">
        <f t="shared" si="68"/>
        <v>#DIV/0!</v>
      </c>
      <c r="AH47" s="1">
        <f t="shared" si="54"/>
        <v>0</v>
      </c>
      <c r="AI47" s="22" t="e">
        <f t="shared" si="69"/>
        <v>#DIV/0!</v>
      </c>
      <c r="AJ47" s="22" t="e">
        <f t="shared" si="70"/>
        <v>#DIV/0!</v>
      </c>
      <c r="AK47" s="1" t="e">
        <f t="shared" si="6"/>
        <v>#DIV/0!</v>
      </c>
      <c r="AL47" s="1" t="e">
        <f t="shared" si="7"/>
        <v>#DIV/0!</v>
      </c>
      <c r="AM47" s="1" t="e">
        <f t="shared" si="8"/>
        <v>#DIV/0!</v>
      </c>
      <c r="AN47" s="1" t="e">
        <f t="shared" si="9"/>
        <v>#DIV/0!</v>
      </c>
      <c r="AO47" s="1" t="e">
        <f t="shared" si="10"/>
        <v>#DIV/0!</v>
      </c>
      <c r="AP47" s="1" t="e">
        <f t="shared" si="71"/>
        <v>#DIV/0!</v>
      </c>
      <c r="AQ47" s="28" t="e">
        <f t="shared" si="55"/>
        <v>#DIV/0!</v>
      </c>
      <c r="AT47" s="1">
        <v>40</v>
      </c>
      <c r="AU47" s="21">
        <f>AX28</f>
        <v>1.2417230015327514</v>
      </c>
      <c r="AV47" s="47" t="e">
        <f>AJ36</f>
        <v>#DIV/0!</v>
      </c>
      <c r="AW47" s="46" t="e">
        <f>AJ37</f>
        <v>#DIV/0!</v>
      </c>
      <c r="AY47" s="21">
        <f>AD26</f>
        <v>0</v>
      </c>
      <c r="AZ47" s="21">
        <f>AD35</f>
        <v>0</v>
      </c>
    </row>
    <row r="48" spans="1:53" x14ac:dyDescent="0.2">
      <c r="A48" s="21">
        <f t="shared" si="41"/>
        <v>2.5004828099272753</v>
      </c>
      <c r="B48" s="5">
        <v>361.7441</v>
      </c>
      <c r="C48" s="5">
        <v>1.3638643037404041</v>
      </c>
      <c r="D48" s="5">
        <f t="shared" si="56"/>
        <v>0.54544038388333138</v>
      </c>
      <c r="E48" s="30">
        <f t="shared" si="42"/>
        <v>563917.45922786603</v>
      </c>
      <c r="F48" s="15">
        <f t="shared" si="57"/>
        <v>8.9712576048825279E-2</v>
      </c>
      <c r="G48" s="30">
        <f t="shared" si="58"/>
        <v>17.920904837419808</v>
      </c>
      <c r="H48" s="30"/>
      <c r="I48" s="15">
        <f t="shared" si="43"/>
        <v>0.29952057700402701</v>
      </c>
      <c r="J48" s="15">
        <f t="shared" si="44"/>
        <v>3.3386687819667067</v>
      </c>
      <c r="K48" s="15">
        <f t="shared" si="45"/>
        <v>2181.0658706832</v>
      </c>
      <c r="L48" s="15">
        <f t="shared" si="46"/>
        <v>4.5849142542712782E-4</v>
      </c>
      <c r="M48" s="15">
        <f t="shared" si="47"/>
        <v>2.1412412881950688E-2</v>
      </c>
      <c r="N48" s="15">
        <f t="shared" si="59"/>
        <v>2.1397552447137744E-2</v>
      </c>
      <c r="O48" s="5">
        <f t="shared" si="60"/>
        <v>17.908467545107463</v>
      </c>
      <c r="P48" s="15">
        <f t="shared" si="61"/>
        <v>2.4966699866691879</v>
      </c>
      <c r="Q48" s="59">
        <v>361.1925</v>
      </c>
      <c r="R48" s="59">
        <v>2.7113065719682168</v>
      </c>
      <c r="S48" s="5">
        <f t="shared" si="62"/>
        <v>1.0859691454798059</v>
      </c>
      <c r="T48" s="5">
        <f t="shared" si="48"/>
        <v>563057.57824982086</v>
      </c>
      <c r="U48" s="25">
        <f t="shared" si="63"/>
        <v>0.17889007941788984</v>
      </c>
      <c r="V48" s="30">
        <f t="shared" si="64"/>
        <v>55.021528256045613</v>
      </c>
      <c r="W48" s="25">
        <f t="shared" si="49"/>
        <v>0.42295399208175094</v>
      </c>
      <c r="X48" s="25">
        <f t="shared" si="50"/>
        <v>2.3643233512895048</v>
      </c>
      <c r="Y48" s="25">
        <f t="shared" si="51"/>
        <v>231.37868648172613</v>
      </c>
      <c r="Z48" s="25">
        <f t="shared" si="52"/>
        <v>4.321919253694865E-3</v>
      </c>
      <c r="AA48" s="25">
        <f t="shared" si="53"/>
        <v>6.5741305536891073E-2</v>
      </c>
      <c r="AB48" s="25">
        <f t="shared" si="65"/>
        <v>6.5730765848161218E-2</v>
      </c>
      <c r="AC48" s="5">
        <f t="shared" si="66"/>
        <v>55.012707168960056</v>
      </c>
      <c r="AD48" s="25">
        <f t="shared" si="67"/>
        <v>0</v>
      </c>
      <c r="AE48" s="59"/>
      <c r="AF48" s="59"/>
      <c r="AG48" s="5" t="e">
        <f t="shared" si="68"/>
        <v>#DIV/0!</v>
      </c>
      <c r="AH48" s="1">
        <f t="shared" si="54"/>
        <v>0</v>
      </c>
      <c r="AI48" s="22" t="e">
        <f t="shared" si="69"/>
        <v>#DIV/0!</v>
      </c>
      <c r="AJ48" s="22" t="e">
        <f t="shared" si="70"/>
        <v>#DIV/0!</v>
      </c>
      <c r="AK48" s="1" t="e">
        <f t="shared" si="6"/>
        <v>#DIV/0!</v>
      </c>
      <c r="AL48" s="1" t="e">
        <f t="shared" si="7"/>
        <v>#DIV/0!</v>
      </c>
      <c r="AM48" s="1" t="e">
        <f t="shared" si="8"/>
        <v>#DIV/0!</v>
      </c>
      <c r="AN48" s="1" t="e">
        <f t="shared" si="9"/>
        <v>#DIV/0!</v>
      </c>
      <c r="AO48" s="1" t="e">
        <f t="shared" si="10"/>
        <v>#DIV/0!</v>
      </c>
      <c r="AP48" s="1" t="e">
        <f t="shared" si="71"/>
        <v>#DIV/0!</v>
      </c>
      <c r="AQ48" s="28" t="e">
        <f t="shared" si="55"/>
        <v>#DIV/0!</v>
      </c>
    </row>
    <row r="49" spans="1:52" ht="15.75" x14ac:dyDescent="0.25">
      <c r="A49" s="21">
        <f t="shared" si="41"/>
        <v>3.7492239007354238</v>
      </c>
      <c r="B49" s="5">
        <v>542.39909999999998</v>
      </c>
      <c r="C49" s="5">
        <v>3.1568791691981484</v>
      </c>
      <c r="D49" s="5">
        <f t="shared" si="56"/>
        <v>0.84200870707639386</v>
      </c>
      <c r="E49" s="30">
        <f t="shared" si="42"/>
        <v>845537.83284780942</v>
      </c>
      <c r="F49" s="15">
        <f t="shared" si="57"/>
        <v>9.2364507032712637E-2</v>
      </c>
      <c r="G49" s="30">
        <f t="shared" si="58"/>
        <v>18.945194932876564</v>
      </c>
      <c r="H49" s="30"/>
      <c r="I49" s="15">
        <f t="shared" si="43"/>
        <v>0.30391529581893806</v>
      </c>
      <c r="J49" s="15">
        <f t="shared" si="44"/>
        <v>3.2903904928686591</v>
      </c>
      <c r="K49" s="15">
        <f t="shared" si="45"/>
        <v>1951.5985774149228</v>
      </c>
      <c r="L49" s="15">
        <f t="shared" si="46"/>
        <v>5.1240045548946579E-4</v>
      </c>
      <c r="M49" s="15">
        <f t="shared" si="47"/>
        <v>2.2636264168132202E-2</v>
      </c>
      <c r="N49" s="15">
        <f t="shared" si="59"/>
        <v>2.2626496562454187E-2</v>
      </c>
      <c r="O49" s="5">
        <f t="shared" si="60"/>
        <v>18.93702003298041</v>
      </c>
      <c r="P49" s="15">
        <f t="shared" si="61"/>
        <v>3.7294733933109625</v>
      </c>
      <c r="Q49" s="59">
        <v>539.54179999999997</v>
      </c>
      <c r="R49" s="59">
        <v>6.3488182242741349</v>
      </c>
      <c r="S49" s="5">
        <f t="shared" si="62"/>
        <v>1.7023363769429558</v>
      </c>
      <c r="T49" s="5">
        <f t="shared" si="48"/>
        <v>841083.63067491504</v>
      </c>
      <c r="U49" s="25">
        <f t="shared" si="63"/>
        <v>0.18772744852842191</v>
      </c>
      <c r="V49" s="30">
        <f t="shared" si="64"/>
        <v>58.707489563650775</v>
      </c>
      <c r="W49" s="25">
        <f t="shared" si="49"/>
        <v>0.4332752572308069</v>
      </c>
      <c r="X49" s="25">
        <f t="shared" si="50"/>
        <v>2.3080016301676265</v>
      </c>
      <c r="Y49" s="25">
        <f t="shared" si="51"/>
        <v>203.23646396051569</v>
      </c>
      <c r="Z49" s="25">
        <f t="shared" si="52"/>
        <v>4.920376887654755E-3</v>
      </c>
      <c r="AA49" s="25">
        <f t="shared" si="53"/>
        <v>7.0145398193001626E-2</v>
      </c>
      <c r="AB49" s="25">
        <f t="shared" si="65"/>
        <v>7.013851054963248E-2</v>
      </c>
      <c r="AC49" s="5">
        <f t="shared" si="66"/>
        <v>58.701725019409402</v>
      </c>
      <c r="AD49" s="25">
        <f t="shared" si="67"/>
        <v>0</v>
      </c>
      <c r="AE49" s="59"/>
      <c r="AF49" s="59"/>
      <c r="AG49" s="5" t="e">
        <f t="shared" si="68"/>
        <v>#DIV/0!</v>
      </c>
      <c r="AH49" s="1">
        <f t="shared" si="54"/>
        <v>0</v>
      </c>
      <c r="AI49" s="22" t="e">
        <f t="shared" si="69"/>
        <v>#DIV/0!</v>
      </c>
      <c r="AJ49" s="22" t="e">
        <f t="shared" si="70"/>
        <v>#DIV/0!</v>
      </c>
      <c r="AK49" s="1" t="e">
        <f t="shared" si="6"/>
        <v>#DIV/0!</v>
      </c>
      <c r="AL49" s="1" t="e">
        <f t="shared" si="7"/>
        <v>#DIV/0!</v>
      </c>
      <c r="AM49" s="1" t="e">
        <f t="shared" si="8"/>
        <v>#DIV/0!</v>
      </c>
      <c r="AN49" s="1" t="e">
        <f t="shared" si="9"/>
        <v>#DIV/0!</v>
      </c>
      <c r="AO49" s="1" t="e">
        <f t="shared" si="10"/>
        <v>#DIV/0!</v>
      </c>
      <c r="AP49" s="1" t="e">
        <f t="shared" si="71"/>
        <v>#DIV/0!</v>
      </c>
      <c r="AQ49" s="28" t="e">
        <f t="shared" si="55"/>
        <v>#DIV/0!</v>
      </c>
      <c r="AU49" s="12" t="s">
        <v>78</v>
      </c>
      <c r="AV49" s="80">
        <v>0.75</v>
      </c>
      <c r="AW49" s="81"/>
      <c r="AY49" s="82" t="s">
        <v>81</v>
      </c>
      <c r="AZ49" s="83"/>
    </row>
    <row r="50" spans="1:52" ht="15.75" x14ac:dyDescent="0.25">
      <c r="A50" s="21">
        <f t="shared" si="41"/>
        <v>3.7325348498392557</v>
      </c>
      <c r="B50" s="5">
        <v>539.98469999999998</v>
      </c>
      <c r="C50" s="5">
        <v>3.1434150239817504</v>
      </c>
      <c r="D50" s="5">
        <f t="shared" si="56"/>
        <v>0.84216628924901371</v>
      </c>
      <c r="E50" s="30">
        <f t="shared" si="42"/>
        <v>841774.0608510864</v>
      </c>
      <c r="F50" s="15">
        <f t="shared" si="57"/>
        <v>9.2794854041754096E-2</v>
      </c>
      <c r="G50" s="30">
        <f t="shared" si="58"/>
        <v>19.11253986958457</v>
      </c>
      <c r="H50" s="30"/>
      <c r="I50" s="15">
        <f t="shared" si="43"/>
        <v>0.30462247789970143</v>
      </c>
      <c r="J50" s="15">
        <f t="shared" si="44"/>
        <v>3.2827518405560845</v>
      </c>
      <c r="K50" s="15">
        <f t="shared" si="45"/>
        <v>1917.5727107193377</v>
      </c>
      <c r="L50" s="15">
        <f t="shared" si="46"/>
        <v>5.2149261115885966E-4</v>
      </c>
      <c r="M50" s="15">
        <f t="shared" si="47"/>
        <v>2.2836212714871521E-2</v>
      </c>
      <c r="N50" s="15">
        <f t="shared" si="59"/>
        <v>2.2826424212822095E-2</v>
      </c>
      <c r="O50" s="5">
        <f t="shared" si="60"/>
        <v>19.104347480679323</v>
      </c>
      <c r="P50" s="15">
        <f t="shared" si="61"/>
        <v>3.7397858498351471</v>
      </c>
      <c r="Q50" s="59">
        <v>541.03369999999995</v>
      </c>
      <c r="R50" s="59">
        <v>6.3458050390601999</v>
      </c>
      <c r="S50" s="5">
        <f t="shared" si="62"/>
        <v>1.6968364750992169</v>
      </c>
      <c r="T50" s="5">
        <f t="shared" si="48"/>
        <v>843409.33123899321</v>
      </c>
      <c r="U50" s="25">
        <f t="shared" si="63"/>
        <v>0.18660495356456261</v>
      </c>
      <c r="V50" s="30">
        <f t="shared" si="64"/>
        <v>58.240869687623217</v>
      </c>
      <c r="W50" s="25">
        <f t="shared" si="49"/>
        <v>0.43197795495205843</v>
      </c>
      <c r="X50" s="25">
        <f t="shared" si="50"/>
        <v>2.3149329463143125</v>
      </c>
      <c r="Y50" s="25">
        <f t="shared" si="51"/>
        <v>206.50612923047717</v>
      </c>
      <c r="Z50" s="25">
        <f t="shared" si="52"/>
        <v>4.8424712802781792E-3</v>
      </c>
      <c r="AA50" s="25">
        <f t="shared" si="53"/>
        <v>6.9587867335320602E-2</v>
      </c>
      <c r="AB50" s="25">
        <f t="shared" si="65"/>
        <v>6.9580978056912088E-2</v>
      </c>
      <c r="AC50" s="5">
        <f t="shared" si="66"/>
        <v>58.235103774951995</v>
      </c>
      <c r="AD50" s="25">
        <f t="shared" si="67"/>
        <v>0</v>
      </c>
      <c r="AE50" s="59"/>
      <c r="AF50" s="59"/>
      <c r="AG50" s="5" t="e">
        <f t="shared" si="68"/>
        <v>#DIV/0!</v>
      </c>
      <c r="AH50" s="1">
        <f t="shared" si="54"/>
        <v>0</v>
      </c>
      <c r="AI50" s="22" t="e">
        <f t="shared" si="69"/>
        <v>#DIV/0!</v>
      </c>
      <c r="AJ50" s="22" t="e">
        <f t="shared" si="70"/>
        <v>#DIV/0!</v>
      </c>
      <c r="AK50" s="1" t="e">
        <f t="shared" si="6"/>
        <v>#DIV/0!</v>
      </c>
      <c r="AL50" s="1" t="e">
        <f t="shared" si="7"/>
        <v>#DIV/0!</v>
      </c>
      <c r="AM50" s="1" t="e">
        <f t="shared" si="8"/>
        <v>#DIV/0!</v>
      </c>
      <c r="AN50" s="1" t="e">
        <f t="shared" si="9"/>
        <v>#DIV/0!</v>
      </c>
      <c r="AO50" s="1" t="e">
        <f t="shared" si="10"/>
        <v>#DIV/0!</v>
      </c>
      <c r="AP50" s="1" t="e">
        <f t="shared" si="71"/>
        <v>#DIV/0!</v>
      </c>
      <c r="AQ50" s="28" t="e">
        <f t="shared" si="55"/>
        <v>#DIV/0!</v>
      </c>
      <c r="AU50" s="42" t="s">
        <v>75</v>
      </c>
      <c r="AV50" s="43" t="s">
        <v>76</v>
      </c>
      <c r="AW50" s="43" t="s">
        <v>77</v>
      </c>
      <c r="AY50" s="20" t="s">
        <v>79</v>
      </c>
      <c r="AZ50" s="20" t="s">
        <v>80</v>
      </c>
    </row>
    <row r="51" spans="1:52" s="20" customFormat="1" ht="15.75" x14ac:dyDescent="0.25">
      <c r="A51" s="20" t="s">
        <v>68</v>
      </c>
      <c r="G51" s="39">
        <f>AVERAGE(G41:G50)</f>
        <v>14.75436518853842</v>
      </c>
      <c r="H51" s="39"/>
      <c r="I51" s="39"/>
      <c r="J51" s="39"/>
      <c r="K51" s="39"/>
      <c r="L51" s="39"/>
      <c r="M51" s="39"/>
      <c r="N51" s="39"/>
      <c r="O51" s="39">
        <f>AVERAGE(O41:O50)</f>
        <v>14.72994871861771</v>
      </c>
      <c r="P51" s="39"/>
      <c r="Q51" s="39"/>
      <c r="R51" s="39"/>
      <c r="S51" s="39"/>
      <c r="T51" s="39"/>
      <c r="U51" s="39"/>
      <c r="V51" s="39">
        <f>AVERAGE(V41:V50)</f>
        <v>46.482481640710901</v>
      </c>
      <c r="W51" s="39"/>
      <c r="X51" s="39"/>
      <c r="Y51" s="39"/>
      <c r="Z51" s="39"/>
      <c r="AA51" s="39"/>
      <c r="AB51" s="39"/>
      <c r="AC51" s="39">
        <f>AVERAGE(AC41:AC50)</f>
        <v>46.463841813693044</v>
      </c>
      <c r="AD51" s="39"/>
      <c r="AE51" s="39"/>
      <c r="AF51" s="39"/>
      <c r="AG51" s="39"/>
      <c r="AH51" s="39"/>
      <c r="AI51" s="39"/>
      <c r="AJ51" s="39" t="e">
        <f>AVERAGE(AJ41:AJ50)</f>
        <v>#DIV/0!</v>
      </c>
      <c r="AK51" s="39"/>
      <c r="AL51" s="39"/>
      <c r="AM51" s="39"/>
      <c r="AN51" s="39"/>
      <c r="AO51" s="39"/>
      <c r="AP51" s="39"/>
      <c r="AQ51" s="39" t="e">
        <f>AVERAGE(AQ41:AQ50)</f>
        <v>#DIV/0!</v>
      </c>
      <c r="AT51" s="20">
        <v>20</v>
      </c>
      <c r="AU51" s="50">
        <f>AY26</f>
        <v>0.93129225114956371</v>
      </c>
      <c r="AV51" s="51">
        <f>G51</f>
        <v>14.75436518853842</v>
      </c>
      <c r="AW51" s="46">
        <f>G52</f>
        <v>3.6925073387014891</v>
      </c>
      <c r="AY51" s="50">
        <f>A41</f>
        <v>0.62310773778801198</v>
      </c>
      <c r="AZ51" s="50">
        <f>A50</f>
        <v>3.7325348498392557</v>
      </c>
    </row>
    <row r="52" spans="1:52" s="20" customFormat="1" ht="15.75" x14ac:dyDescent="0.25">
      <c r="A52" s="20" t="s">
        <v>69</v>
      </c>
      <c r="G52" s="39">
        <f>STDEV(G41:G50)</f>
        <v>3.6925073387014891</v>
      </c>
      <c r="H52" s="39"/>
      <c r="I52" s="39"/>
      <c r="J52" s="39"/>
      <c r="K52" s="39"/>
      <c r="L52" s="39"/>
      <c r="M52" s="39"/>
      <c r="N52" s="39"/>
      <c r="O52" s="39">
        <f>STDEV(O41:O50)</f>
        <v>3.7047574094637787</v>
      </c>
      <c r="P52" s="39"/>
      <c r="Q52" s="39"/>
      <c r="R52" s="39"/>
      <c r="S52" s="39"/>
      <c r="T52" s="39"/>
      <c r="U52" s="39"/>
      <c r="V52" s="39">
        <f>STDEV(V41:V50)</f>
        <v>14.450006545716338</v>
      </c>
      <c r="W52" s="39"/>
      <c r="X52" s="39"/>
      <c r="Y52" s="39"/>
      <c r="Z52" s="39"/>
      <c r="AA52" s="39"/>
      <c r="AB52" s="39"/>
      <c r="AC52" s="39">
        <f>STDEV(AC41:AC50)</f>
        <v>14.4656269964435</v>
      </c>
      <c r="AD52" s="39"/>
      <c r="AE52" s="39"/>
      <c r="AF52" s="39"/>
      <c r="AG52" s="39"/>
      <c r="AH52" s="39"/>
      <c r="AI52" s="39"/>
      <c r="AJ52" s="39" t="e">
        <f>STDEV(AJ41:AJ50)</f>
        <v>#DIV/0!</v>
      </c>
      <c r="AK52" s="39"/>
      <c r="AL52" s="39"/>
      <c r="AM52" s="39"/>
      <c r="AN52" s="39"/>
      <c r="AO52" s="39"/>
      <c r="AP52" s="39"/>
      <c r="AQ52" s="39" t="e">
        <f>STDEV(AQ41:AQ50)</f>
        <v>#DIV/0!</v>
      </c>
      <c r="AT52" s="20">
        <v>30</v>
      </c>
      <c r="AU52" s="37">
        <f>AY27</f>
        <v>1.3969383767243453</v>
      </c>
      <c r="AV52" s="46">
        <f>V51</f>
        <v>46.482481640710901</v>
      </c>
      <c r="AW52" s="46">
        <f>V52</f>
        <v>14.450006545716338</v>
      </c>
      <c r="AY52" s="40">
        <f>P41</f>
        <v>0.62442114342120481</v>
      </c>
      <c r="AZ52" s="40">
        <f>P50</f>
        <v>3.7397858498351471</v>
      </c>
    </row>
    <row r="53" spans="1:52" ht="15.75" x14ac:dyDescent="0.25">
      <c r="AT53" s="1">
        <v>40</v>
      </c>
      <c r="AU53" s="37">
        <f>AY28</f>
        <v>1.8625845022991274</v>
      </c>
      <c r="AV53" s="46" t="e">
        <f>AQ51</f>
        <v>#DIV/0!</v>
      </c>
      <c r="AW53" s="46" t="e">
        <f>AQ52</f>
        <v>#DIV/0!</v>
      </c>
      <c r="AY53" s="41">
        <f>AD41</f>
        <v>0</v>
      </c>
      <c r="AZ53" s="41">
        <f>AD50</f>
        <v>0</v>
      </c>
    </row>
  </sheetData>
  <mergeCells count="19">
    <mergeCell ref="B23:AG23"/>
    <mergeCell ref="B2:D2"/>
    <mergeCell ref="B10:AG10"/>
    <mergeCell ref="B11:D11"/>
    <mergeCell ref="Q11:S11"/>
    <mergeCell ref="AE11:AG11"/>
    <mergeCell ref="B24:D24"/>
    <mergeCell ref="Q24:S24"/>
    <mergeCell ref="AE24:AG24"/>
    <mergeCell ref="B38:AG38"/>
    <mergeCell ref="B39:D39"/>
    <mergeCell ref="Q39:S39"/>
    <mergeCell ref="AE39:AG39"/>
    <mergeCell ref="AV37:AW37"/>
    <mergeCell ref="AV43:AW43"/>
    <mergeCell ref="AV49:AW49"/>
    <mergeCell ref="AY37:AZ37"/>
    <mergeCell ref="AY43:AZ43"/>
    <mergeCell ref="AY49:AZ49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N1:O65"/>
  <sheetViews>
    <sheetView topLeftCell="A61" workbookViewId="0">
      <selection activeCell="O11" sqref="O11"/>
    </sheetView>
  </sheetViews>
  <sheetFormatPr baseColWidth="10" defaultRowHeight="15" x14ac:dyDescent="0.25"/>
  <cols>
    <col min="15" max="15" width="79.7109375" customWidth="1"/>
  </cols>
  <sheetData>
    <row r="1" spans="15:15" x14ac:dyDescent="0.25">
      <c r="O1" s="16" t="s">
        <v>58</v>
      </c>
    </row>
    <row r="9" spans="15:15" x14ac:dyDescent="0.25">
      <c r="O9" t="s">
        <v>59</v>
      </c>
    </row>
    <row r="11" spans="15:15" x14ac:dyDescent="0.25">
      <c r="O11" t="s">
        <v>60</v>
      </c>
    </row>
    <row r="13" spans="15:15" ht="74.25" customHeight="1" x14ac:dyDescent="0.25">
      <c r="O13" s="26" t="s">
        <v>87</v>
      </c>
    </row>
    <row r="14" spans="15:15" x14ac:dyDescent="0.25">
      <c r="O14" t="s">
        <v>70</v>
      </c>
    </row>
    <row r="20" spans="15:15" ht="17.25" x14ac:dyDescent="0.25">
      <c r="O20" s="57" t="s">
        <v>82</v>
      </c>
    </row>
    <row r="21" spans="15:15" ht="17.25" x14ac:dyDescent="0.25">
      <c r="O21" s="57" t="s">
        <v>83</v>
      </c>
    </row>
    <row r="22" spans="15:15" ht="17.25" x14ac:dyDescent="0.25">
      <c r="O22" s="57" t="s">
        <v>84</v>
      </c>
    </row>
    <row r="63" spans="14:15" x14ac:dyDescent="0.25">
      <c r="N63" t="s">
        <v>57</v>
      </c>
      <c r="O63">
        <v>1E-3</v>
      </c>
    </row>
    <row r="65" spans="14:15" x14ac:dyDescent="0.25">
      <c r="N65" t="s">
        <v>71</v>
      </c>
      <c r="O65">
        <f>1/O63^0.5</f>
        <v>31.622776601683796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Gráficos</vt:lpstr>
      </vt:variant>
      <vt:variant>
        <vt:i4>2</vt:i4>
      </vt:variant>
    </vt:vector>
  </HeadingPairs>
  <TitlesOfParts>
    <vt:vector size="5" baseType="lpstr">
      <vt:lpstr>DN250 PN10-Oct2023</vt:lpstr>
      <vt:lpstr>DN250 PN10_Center II-Erróneos</vt:lpstr>
      <vt:lpstr>Teoría</vt:lpstr>
      <vt:lpstr>Graf Hf-RugAbs DN250</vt:lpstr>
      <vt:lpstr>Graf Vel-RugAbs DN250_C II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NZ</cp:lastModifiedBy>
  <cp:lastPrinted>2023-09-29T14:12:57Z</cp:lastPrinted>
  <dcterms:created xsi:type="dcterms:W3CDTF">2023-04-25T08:58:26Z</dcterms:created>
  <dcterms:modified xsi:type="dcterms:W3CDTF">2023-11-15T14:22:16Z</dcterms:modified>
</cp:coreProperties>
</file>